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890" windowHeight="10200" tabRatio="891" activeTab="0"/>
  </bookViews>
  <sheets>
    <sheet name="Материалы для укладки плитки-1" sheetId="1" r:id="rId1"/>
    <sheet name="Материалы для укладки плитки-2" sheetId="2" r:id="rId2"/>
    <sheet name="Строительная химия" sheetId="3" r:id="rId3"/>
    <sheet name="Реклама" sheetId="4" r:id="rId4"/>
  </sheets>
  <definedNames>
    <definedName name="_xlnm.Print_Titles" localSheetId="0">'Материалы для укладки плитки-1'!$7:$9</definedName>
    <definedName name="_xlnm.Print_Titles" localSheetId="1">'Материалы для укладки плитки-2'!$6:$8</definedName>
    <definedName name="_xlnm.Print_Titles" localSheetId="2">'Строительная химия'!$6:$8</definedName>
  </definedNames>
  <calcPr fullCalcOnLoad="1" refMode="R1C1"/>
</workbook>
</file>

<file path=xl/sharedStrings.xml><?xml version="1.0" encoding="utf-8"?>
<sst xmlns="http://schemas.openxmlformats.org/spreadsheetml/2006/main" count="1048" uniqueCount="900">
  <si>
    <t>KERAPOXY P №100 белый.канистры  10 кг</t>
  </si>
  <si>
    <t>10</t>
  </si>
  <si>
    <t>KERAPOXY P №110 МАНХАТ.канистры  10 кг</t>
  </si>
  <si>
    <t>KERAPOXY P №112 ЗЕЛ.СР. канистры  10 кг</t>
  </si>
  <si>
    <t>KERAPOXY P №113 СЕР.ЦЕМ.канистры   5 кг</t>
  </si>
  <si>
    <t>KERAPOXY P №113 СЕР.ЦЕМ.канистры  10 кг</t>
  </si>
  <si>
    <t>KERAPOXY P №120 ЧЕРНЫЙ   канистры  10 кг</t>
  </si>
  <si>
    <t>(4922) 46-15-35, 46-15-36</t>
  </si>
  <si>
    <t>KERAPOXY P №132 бежевый  канистры  10 кг</t>
  </si>
  <si>
    <t>ELASTORAPID A + В (серый)  25 кг + 6,25 кг</t>
  </si>
  <si>
    <t>ELASTORAPID A + В (белый)  25 кг + 6,25 кг</t>
  </si>
  <si>
    <t>MAPEFOAM      6         550 м</t>
  </si>
  <si>
    <t>г. Владимир, Промышленный пр-д, д. 5, оф. 212</t>
  </si>
  <si>
    <t>(4922) 46-15-35</t>
  </si>
  <si>
    <t>www.akademia33.ru, mapei33@mail.ru</t>
  </si>
  <si>
    <t>KERAPOXY CLEANER         FUST. 5 KG</t>
  </si>
  <si>
    <t>KERAPOXY CLEANER       CF.12X0,75KG</t>
  </si>
  <si>
    <t>0,75</t>
  </si>
  <si>
    <t>MAPEFIX EP 385       SCAT.12X385 ML</t>
  </si>
  <si>
    <t>0,395</t>
  </si>
  <si>
    <t>MAPEFIX PE SF        SCAT.12X300 ML</t>
  </si>
  <si>
    <t>0,3</t>
  </si>
  <si>
    <t>MAPEFIX PE SF        SCAT.12X380 ML</t>
  </si>
  <si>
    <t>0,38</t>
  </si>
  <si>
    <t>MAPEFIX VE SF        SCAT.12X300 ML</t>
  </si>
  <si>
    <t>MAPEFIX VE SF        SCAT.12X380 ML</t>
  </si>
  <si>
    <t>материалы</t>
  </si>
  <si>
    <t>вес ед. прод.</t>
  </si>
  <si>
    <t>FUGOLASTIC  канистры 5 кг</t>
  </si>
  <si>
    <t>FUGOLASTIC канистры 10 кг</t>
  </si>
  <si>
    <t>FUGOLASTIC  канистры 25 кг</t>
  </si>
  <si>
    <t>FUGOLASTIC  упак. 12 X 1 кг</t>
  </si>
  <si>
    <t>KERANET жидкий  упак. 12 X 1 кг</t>
  </si>
  <si>
    <t>KERANET порошок 1кг</t>
  </si>
  <si>
    <t>KERAPOXY DESIGN N.700  упаковка 3 кг</t>
  </si>
  <si>
    <t>KERAPOXY DESIGN N.710  упаковка 3 кг</t>
  </si>
  <si>
    <t>KERAPOXY DESIGN N.720  упаковка 3 кг</t>
  </si>
  <si>
    <t>KERAPOXY DESIGN N.730  упаковка 3 кг</t>
  </si>
  <si>
    <t>KERAPOXY DESIGN N.740  упаковка 3 кг</t>
  </si>
  <si>
    <t>KERAPOXY DESIGN N.750  упаковка 3 кг</t>
  </si>
  <si>
    <t>KERAPOXY DESIGN N.760  упаковка 3 кг</t>
  </si>
  <si>
    <t>KERAPOXY DESIGN N.770  упаковка 3 кг</t>
  </si>
  <si>
    <t>KERAPOXY №100 канистры   10 кг</t>
  </si>
  <si>
    <t>KERAPOXY №100  упак. 12 X 2 кг</t>
  </si>
  <si>
    <t>KERAPOXY №110   канистры    5 кг</t>
  </si>
  <si>
    <t>KERAPOXY №110         канистры   10 кг</t>
  </si>
  <si>
    <t>KERAPOXY №110         упак. 12 х 2 кг</t>
  </si>
  <si>
    <t>KERAPOXY №111         канистры    5 кг</t>
  </si>
  <si>
    <t>KERAPOXY №111         канистры   10 кг</t>
  </si>
  <si>
    <t>KERAPOXY №111         упак. 12 х 2 кг</t>
  </si>
  <si>
    <t>KERAPOXY №112         канистры    5 кг</t>
  </si>
  <si>
    <t>KERAPOXY №112         канистры   10 кг</t>
  </si>
  <si>
    <t>KERAPOXY №112         упак. 12 х 2 кг</t>
  </si>
  <si>
    <t>KERAPOXY №113         канистры    5 кг</t>
  </si>
  <si>
    <t>KERAPOXY №113         канистры   10 кг</t>
  </si>
  <si>
    <t>KERAPOXY №113         упак. 12 х 2 кг</t>
  </si>
  <si>
    <t>KERAPOXY №114         канистры    5 кг</t>
  </si>
  <si>
    <t>KERAPOXY №114         канистры   10 кг</t>
  </si>
  <si>
    <t>KERAPOXY №114         упак. 12 х 2 кг</t>
  </si>
  <si>
    <t>KERAPOXY №120         канистры    5 кг</t>
  </si>
  <si>
    <t>KERAPOXY №120         канистры   10 кг</t>
  </si>
  <si>
    <t>KERAPOXY №120         упак. 12 х 2 кг</t>
  </si>
  <si>
    <t>KERAPOXY №130         канистры    5 кг</t>
  </si>
  <si>
    <t>KERAPOXY №130         канистры   10 кг</t>
  </si>
  <si>
    <t>KERAPOXY №130         упак. 12 х 2 кг</t>
  </si>
  <si>
    <t>KERAPOXY №131         канистры    5 кг</t>
  </si>
  <si>
    <t>KERAPOXY №131         канистры   10 кг</t>
  </si>
  <si>
    <t>KERAPOXY №131         упак. 12 х 2 кг</t>
  </si>
  <si>
    <t>KERAPOXY №132         канистры    5 кг</t>
  </si>
  <si>
    <t>KERAPOXY №132         канистры   10 кг</t>
  </si>
  <si>
    <t>KERAPOXY №132         упак. 12 х 2 кг</t>
  </si>
  <si>
    <t>KERAPOXY №140         канистры    5 кг</t>
  </si>
  <si>
    <t>KERAPOXY №140         канистры   10 кг</t>
  </si>
  <si>
    <t>KERAPOXY №140         упак. 12 х 2 кг</t>
  </si>
  <si>
    <t>KERAPOXY №141         канистры    5 кг</t>
  </si>
  <si>
    <t>KERAPOXY №141         канистры   10 кг</t>
  </si>
  <si>
    <t>KERAPOXY №141         упак. 12 х 2 кг</t>
  </si>
  <si>
    <t>KERAPOXY №142         канистры    5 кг</t>
  </si>
  <si>
    <t>KERAPOXY №142         канистры   10 кг</t>
  </si>
  <si>
    <t>KERAPOXY №142         упак. 12 х 2 кг</t>
  </si>
  <si>
    <t>KERAPOXY №143         канистры    5 кг</t>
  </si>
  <si>
    <t>KERAPOXY №143         канистры   10 кг</t>
  </si>
  <si>
    <t>KERAPOXY №143         упак. 12 х 2 кг</t>
  </si>
  <si>
    <t>KERAPOXY №144         канистры    5 кг</t>
  </si>
  <si>
    <t>KERAPOXY №144         канистры   10 кг</t>
  </si>
  <si>
    <t>KERAPOXY №144         упак. 12 х 2 кг</t>
  </si>
  <si>
    <t>KERAPOXY №145         канистры    5 кг</t>
  </si>
  <si>
    <t>KERAPOXY №145         канистры   10 кг</t>
  </si>
  <si>
    <t>KERAPOXY №145         упак. 12 х 2 кг</t>
  </si>
  <si>
    <t>KERAPOXY №150         канистры    5 кг</t>
  </si>
  <si>
    <t>KERAPOXY №150         канистры   10 кг</t>
  </si>
  <si>
    <t>KERAPOXY №150         упак. 12 х 2 кг</t>
  </si>
  <si>
    <t>KERAPOXY №160         канистры    5 кг</t>
  </si>
  <si>
    <t>KERAPOXY №160         канистры   10 кг</t>
  </si>
  <si>
    <t>KERAPOXY №160         упак. 12 х 2 кг</t>
  </si>
  <si>
    <t>KERAPOXY №161         канистры    5 кг</t>
  </si>
  <si>
    <t>KERAPOXY №161         канистры   10 кг</t>
  </si>
  <si>
    <t>KERAPOXY №161         упак. 12 х 2 кг</t>
  </si>
  <si>
    <t>KERAPOXY №162         канистры    5 кг</t>
  </si>
  <si>
    <t>KERAPOXY №162         канистры   10 кг</t>
  </si>
  <si>
    <t>KERAPOXY №162         упак. 12 х 2 кг</t>
  </si>
  <si>
    <t>KERAPOXY №170         канистры    5 кг</t>
  </si>
  <si>
    <t>KERAPOXY №170         канистры   10 кг</t>
  </si>
  <si>
    <t>KERAPOXY №170         упак. 12 х 2 кг</t>
  </si>
  <si>
    <t>KERAPOXY №171         канистры    5 кг</t>
  </si>
  <si>
    <t>KERAPOXY №171         канистры   10 кг</t>
  </si>
  <si>
    <t>KERAPOXY №171         упак. 12 х 2 кг</t>
  </si>
  <si>
    <t>KERAPOXY №172         канистры    5 кг</t>
  </si>
  <si>
    <t>KERAPOXY №172         канистры   10 кг</t>
  </si>
  <si>
    <t>KERAPOXY №172         упак. 12 х 2 кг</t>
  </si>
  <si>
    <t>KERAPOXY №180         канистры    5 кг</t>
  </si>
  <si>
    <t>KERAPOXY №180         канистры   10 кг</t>
  </si>
  <si>
    <t>KERAPOXY №180         упак. 12 х 2 кг</t>
  </si>
  <si>
    <t>KERAPOXY №181         канистры    5 кг</t>
  </si>
  <si>
    <t>KERAPOXY №181         канистры   10 кг</t>
  </si>
  <si>
    <t>KERAPOXY №181         упак. 12 х 2 кг</t>
  </si>
  <si>
    <t>KERAPOXY №182         канистры    5 кг</t>
  </si>
  <si>
    <t>KERAPOXY №182         канистры   10 кг</t>
  </si>
  <si>
    <t>KERAPOXY №182         упак. 12 х 2 кг</t>
  </si>
  <si>
    <t>KERAPOXY №258 АБРИКОС  коробка 12 х 2 кг</t>
  </si>
  <si>
    <t>KERAPOXY №258 АБРИКОС  канистры  5 кг</t>
  </si>
  <si>
    <t>KERAPOXY №259 ОРЕХ  коробка 12 х 2 кг</t>
  </si>
  <si>
    <t>KERAPOXY №259 ОРЕХ канистры   5 кг</t>
  </si>
  <si>
    <t>KERAPOXY №260 ЗЕЛЕНЫЙ  ОЛИВ. канистры  5 кг</t>
  </si>
  <si>
    <t>KERAPOXY №260 ЗЕЛЕНЫЙ ОЛИВ. Коробка 12 х 2 кг</t>
  </si>
  <si>
    <t>KERASEAL               канистры   10 кг</t>
  </si>
  <si>
    <t>KERASEAL               упак. 18X1 кг</t>
  </si>
  <si>
    <t>MAPEFLEX PU 21 NERO    упак.  5 кг</t>
  </si>
  <si>
    <t>MAPEFLEX PU 21 NERO    упак. 10 кг</t>
  </si>
  <si>
    <t>MAPEFLEX PU 21 бежевый   упак.  5 кг</t>
  </si>
  <si>
    <t>MAPEFLEX PU 21 бежевый   упак. 10 кг</t>
  </si>
  <si>
    <t>MAPEFLEX PU 30 серый упак.   5 кг</t>
  </si>
  <si>
    <t>MAPEFLEX PU 40 SL      коробка 20 X 600 мл</t>
  </si>
  <si>
    <t>MAPEFLEX PU 45 SL      коробка 20 X 600 мл</t>
  </si>
  <si>
    <t>MAPEFLEX PU 50 SL      коробка 20 X 600 мл</t>
  </si>
  <si>
    <t>MAXIFUGA 25kg</t>
  </si>
  <si>
    <t>ADESILEX FIS 13        ведро  15 кг</t>
  </si>
  <si>
    <t>ADESILEX FIS 13        ведро  25 кг</t>
  </si>
  <si>
    <t>1,5+0,5=2 кг</t>
  </si>
  <si>
    <t>ADESILEX T SUP.MEDIO   10X90 гр.</t>
  </si>
  <si>
    <t>ADESILEX Tsuper 1kg</t>
  </si>
  <si>
    <t>ANTIGELO S порошок 1 кг</t>
  </si>
  <si>
    <t>ANTIPLUVIOL   канистры    5 кг</t>
  </si>
  <si>
    <t>ANTIPLUVIOL  канистры   25 кг</t>
  </si>
  <si>
    <t>ANTIPLUVIOL S  канистры    5 кг</t>
  </si>
  <si>
    <t>ANTIPLUVIOL S  канистры   10 кг</t>
  </si>
  <si>
    <t>2,5+2,5=5кг</t>
  </si>
  <si>
    <t>ELASTOCOLOR "W"  0 BIANCO     FUST.20 KG</t>
  </si>
  <si>
    <t>25+6,25=31,25 кг</t>
  </si>
  <si>
    <t>2+0,5=2,5 кг</t>
  </si>
  <si>
    <t>3,2+0,8=4 кг</t>
  </si>
  <si>
    <t>Mapenet 150 сетка стеклотканевая рул. 1х50 м</t>
  </si>
  <si>
    <t>FIBRE FF коробка по 50 шт.</t>
  </si>
  <si>
    <t xml:space="preserve">GRANIRAPID B </t>
  </si>
  <si>
    <t>IDROSILEX жидкий      канистры   25 кг</t>
  </si>
  <si>
    <t>IDROSILEX порошок 1кг</t>
  </si>
  <si>
    <t>IDROSTOP Mastic 24 шт x 290 мл</t>
  </si>
  <si>
    <t>IDROSTOP 20 x 10 мм</t>
  </si>
  <si>
    <t>IDROSTOP 20 x 15 мм</t>
  </si>
  <si>
    <t>ISOLASTIC  канистры    5 кг</t>
  </si>
  <si>
    <t>ISOLASTIC  канистры   10 кг</t>
  </si>
  <si>
    <t>ISOLASTIC   канистры   25 кг</t>
  </si>
  <si>
    <t>ISOLASTIC  упак. 12 X 1 кг</t>
  </si>
  <si>
    <t>ISOLASTIC              CIST.1000 KG</t>
  </si>
  <si>
    <t>KERACRETE   канистры    5 кг</t>
  </si>
  <si>
    <t>KERACRETE  канистры   10 кг</t>
  </si>
  <si>
    <t>KERACRETE    канистры   25 кг</t>
  </si>
  <si>
    <t>KERALASTIC "T" белый  упак.  5 кг</t>
  </si>
  <si>
    <t>KERALASTIC "T" белый  упак. 10 кг</t>
  </si>
  <si>
    <t>KERALASTIC "T" серый упак.  5 кг</t>
  </si>
  <si>
    <t>KERALASTIC "T" серый упак. 10 кг</t>
  </si>
  <si>
    <t>KERAQUICK серый      мешки 25 кг</t>
  </si>
  <si>
    <t>LAMPOCEM               мешки 25 кг</t>
  </si>
  <si>
    <t>LAMPOCEM           кан. упак.  4 х 5 кг</t>
  </si>
  <si>
    <t>LAMPOSILEX             канистры    5 кг</t>
  </si>
  <si>
    <t>LATEX PLUS             канистры   10 кг</t>
  </si>
  <si>
    <t>MALECH              ведро  10 кг</t>
  </si>
  <si>
    <t>MAPEBAND 50 м x 12 см</t>
  </si>
  <si>
    <t>MAPEFER 1K мешки 5кг</t>
  </si>
  <si>
    <t>MAPEFER канистры  2кг</t>
  </si>
  <si>
    <t>MAPEFOAM     20          350 м</t>
  </si>
  <si>
    <t>MAPEFOAM     25          200 м</t>
  </si>
  <si>
    <t>MAPEFOAM     30         160 м</t>
  </si>
  <si>
    <t>MAPEFOAM     40         270 м</t>
  </si>
  <si>
    <t>MAPEGUM WPS            канистры    5 кг</t>
  </si>
  <si>
    <t>MAPEGUM WPS            канистры   10 кг</t>
  </si>
  <si>
    <t>MAPEGUM WPS            канистры   25 кг</t>
  </si>
  <si>
    <t xml:space="preserve">MAPELASTIC B           </t>
  </si>
  <si>
    <t>MAPEPRIM 1K            канистры    5 кг</t>
  </si>
  <si>
    <t>Nivorapid  мешки 25 кг</t>
  </si>
  <si>
    <t>PLANICRETE             канистры    5 кг</t>
  </si>
  <si>
    <t>PLANICRETE             канистры   10 кг</t>
  </si>
  <si>
    <t>PLANICRETE             канистры   25 кг</t>
  </si>
  <si>
    <t>PLANIPATCH             мешки 25 кг</t>
  </si>
  <si>
    <t>PLASTIMUL              FUST.  12 KG</t>
  </si>
  <si>
    <t>PLASTIMUL              FUSTI  30 KG</t>
  </si>
  <si>
    <t>PRIMER FD           флак. 0,9 кг</t>
  </si>
  <si>
    <t>PRIMER G               канистры   25 кг</t>
  </si>
  <si>
    <t>PRIMER G               канистры    5 кг</t>
  </si>
  <si>
    <t>PRIMER G               канистры   10 кг</t>
  </si>
  <si>
    <t>PRIMER G               упак. 12X1 кг</t>
  </si>
  <si>
    <t>PRIMER G               CIST.1000 KG</t>
  </si>
  <si>
    <t>PRIMER S               канистры   10 кг</t>
  </si>
  <si>
    <t>PROSFAS                канистры   25 кг</t>
  </si>
  <si>
    <t>RESFOAM 1K-M AKS       канистры    1 кг</t>
  </si>
  <si>
    <t>SILEXCOLOR   0           FUST.20 KG</t>
  </si>
  <si>
    <t>SILEXCOLOR PRIMER        FUST.10 KG</t>
  </si>
  <si>
    <t>SILANCOLOR   0 BIANCO    FUST.20 KG</t>
  </si>
  <si>
    <t>ULTRAFLEX S2 MONO мешки 15кг</t>
  </si>
  <si>
    <t>ULTRAMASTIC 3  канистры   12 кг</t>
  </si>
  <si>
    <t>ULTRAMASTIC 3  канистры   5 кг</t>
  </si>
  <si>
    <t>ULTRATOP STANDARD      мешки 25 кг</t>
  </si>
  <si>
    <t>WALLGARD BARRIER    упак. 5 кг</t>
  </si>
  <si>
    <t>WALLGARD REMOVER    упак. 5 кг</t>
  </si>
  <si>
    <t>6014002</t>
  </si>
  <si>
    <t>6014005</t>
  </si>
  <si>
    <t>6014502</t>
  </si>
  <si>
    <t>6014505</t>
  </si>
  <si>
    <t>6015002</t>
  </si>
  <si>
    <t>6015005</t>
  </si>
  <si>
    <t>6016002</t>
  </si>
  <si>
    <t>6016005</t>
  </si>
  <si>
    <t>6016102</t>
  </si>
  <si>
    <t>6016105</t>
  </si>
  <si>
    <t>6016202</t>
  </si>
  <si>
    <t>6016205</t>
  </si>
  <si>
    <t>6017002</t>
  </si>
  <si>
    <t>6017005</t>
  </si>
  <si>
    <t>6017102</t>
  </si>
  <si>
    <t>6017105</t>
  </si>
  <si>
    <t>6017202</t>
  </si>
  <si>
    <t>6017205</t>
  </si>
  <si>
    <t>6018002</t>
  </si>
  <si>
    <t>6018005</t>
  </si>
  <si>
    <t>6018102</t>
  </si>
  <si>
    <t>6018105</t>
  </si>
  <si>
    <t>6018202</t>
  </si>
  <si>
    <t>6018205</t>
  </si>
  <si>
    <t>6025802</t>
  </si>
  <si>
    <t>6025805</t>
  </si>
  <si>
    <t>6025902</t>
  </si>
  <si>
    <t>6025905</t>
  </si>
  <si>
    <t>6026002</t>
  </si>
  <si>
    <t>6026005</t>
  </si>
  <si>
    <t>6006102</t>
  </si>
  <si>
    <t>6006105</t>
  </si>
  <si>
    <t xml:space="preserve">ADESILEX P9 серый </t>
  </si>
  <si>
    <t>ADESILEX P10</t>
  </si>
  <si>
    <t xml:space="preserve">GRANIRAPID серый  A </t>
  </si>
  <si>
    <t xml:space="preserve">GRANIRAPID белый  A </t>
  </si>
  <si>
    <t xml:space="preserve">KERABOND  T серый </t>
  </si>
  <si>
    <t xml:space="preserve">KERABOND T белый </t>
  </si>
  <si>
    <t xml:space="preserve">KERACRETE белый </t>
  </si>
  <si>
    <t xml:space="preserve">KERAFLEX серый  </t>
  </si>
  <si>
    <t xml:space="preserve">KERAFLEX MAXI серый </t>
  </si>
  <si>
    <t xml:space="preserve">MAPECEM                        </t>
  </si>
  <si>
    <t>MAPETHERM AR2</t>
  </si>
  <si>
    <t>TOPCEM PRONTO</t>
  </si>
  <si>
    <t xml:space="preserve">ULTRAPLAN ECO          </t>
  </si>
  <si>
    <t>7,5+2,5=10 кг</t>
  </si>
  <si>
    <t>Клеевые составы на цементной основе</t>
  </si>
  <si>
    <r>
      <t xml:space="preserve">ADESILEX P4  </t>
    </r>
    <r>
      <rPr>
        <b/>
        <sz val="8"/>
        <color indexed="10"/>
        <rFont val="Arial"/>
        <family val="2"/>
      </rPr>
      <t>Под заказ</t>
    </r>
    <r>
      <rPr>
        <sz val="8"/>
        <rFont val="Arial"/>
        <family val="2"/>
      </rPr>
      <t xml:space="preserve"> </t>
    </r>
  </si>
  <si>
    <r>
      <t xml:space="preserve">ADESILEX P9 белый  </t>
    </r>
    <r>
      <rPr>
        <b/>
        <sz val="8"/>
        <color indexed="10"/>
        <rFont val="Arial"/>
        <family val="2"/>
      </rPr>
      <t xml:space="preserve">Под заказ </t>
    </r>
  </si>
  <si>
    <r>
      <t xml:space="preserve">KERAFLEX MAXI белый  </t>
    </r>
    <r>
      <rPr>
        <b/>
        <sz val="8"/>
        <color indexed="10"/>
        <rFont val="Arial"/>
        <family val="2"/>
      </rPr>
      <t xml:space="preserve">Под заказ </t>
    </r>
  </si>
  <si>
    <r>
      <t xml:space="preserve">KERAFLEX белый           </t>
    </r>
    <r>
      <rPr>
        <b/>
        <sz val="8"/>
        <color indexed="10"/>
        <rFont val="Arial"/>
        <family val="2"/>
      </rPr>
      <t xml:space="preserve">Под заказ </t>
    </r>
  </si>
  <si>
    <t>Шовные заполнители</t>
  </si>
  <si>
    <t>ULTRACOLOR PLUS №  100/2кг (Белый)</t>
  </si>
  <si>
    <t>ULTRACOLOR PLUS №  100/5кг (Белый)</t>
  </si>
  <si>
    <t>ULTRACOLOR PLUS №  110/2кг (Манхеттен 2000)</t>
  </si>
  <si>
    <t>ULTRACOLOR PLUS №  110/5кг (Манхеттен 2000)</t>
  </si>
  <si>
    <t>ULTRACOLOR PLUS №  111/2кг (Светло-серый)</t>
  </si>
  <si>
    <t>ULTRACOLOR PLUS №  111/5кг (Светло-серый)</t>
  </si>
  <si>
    <t>ULTRACOLOR PLUS №  112/2кг (Серый)</t>
  </si>
  <si>
    <t>ULTRACOLOR PLUS №  112/5кг (Серый)</t>
  </si>
  <si>
    <t>ULTRACOLOR PLUS №  113/2кг (Тёмно-серый)</t>
  </si>
  <si>
    <t>ULTRACOLOR PLUS №  113/5кг (Тёмно-серый)</t>
  </si>
  <si>
    <t>ULTRACOLOR PLUS №  114/2кг (Антрацит)</t>
  </si>
  <si>
    <t>ULTRACOLOR PLUS №  114/5кг (Антрацит)</t>
  </si>
  <si>
    <t>ULTRACOLOR PLUS №  120/2кг (Черный)</t>
  </si>
  <si>
    <t>ULTRACOLOR PLUS №  120/5кг (Черный)</t>
  </si>
  <si>
    <t>ULTRACOLOR PLUS №  130/2кг (Жасмин)</t>
  </si>
  <si>
    <t>ULTRACOLOR PLUS №  130/5кг (Жасмин)</t>
  </si>
  <si>
    <t>ULTRACOLOR PLUS №  131/2кг (Ваниль)</t>
  </si>
  <si>
    <t>ULTRACOLOR PLUS №  131/5кг (Ваниль)</t>
  </si>
  <si>
    <t>ULTRACOLOR PLUS №  132/2кг (Бежевый 2000)</t>
  </si>
  <si>
    <t>ULTRACOLOR PLUS №  132/5кг (Бежевый 2000)</t>
  </si>
  <si>
    <t>ULTRACOLOR PLUS №  141/2кг (Карамель)</t>
  </si>
  <si>
    <t>ULTRACOLOR PLUS №  141/5кг (Карамель)</t>
  </si>
  <si>
    <t>ULTRACOLOR PLUS №  142/2кг (Коричневый)</t>
  </si>
  <si>
    <t>ULTRACOLOR PLUS №  142/5кг (Коричневый)</t>
  </si>
  <si>
    <t>ULTRACOLOR PLUS №  143/2кг (Терракоттовый)</t>
  </si>
  <si>
    <t>ULTRACOLOR PLUS №  143/5кг (Терракоттовый)</t>
  </si>
  <si>
    <t>ULTRACOLOR PLUS №  144/2кг (Шоколад)</t>
  </si>
  <si>
    <t>ULTRACOLOR PLUS №  144/5кг (Шоколад)</t>
  </si>
  <si>
    <t>Гидроизоляционные материалы</t>
  </si>
  <si>
    <t>IDROSILEX Pronto</t>
  </si>
  <si>
    <t>Стяжки</t>
  </si>
  <si>
    <r>
      <t xml:space="preserve">MAPECEM PRONTO         </t>
    </r>
    <r>
      <rPr>
        <sz val="8"/>
        <color indexed="10"/>
        <rFont val="Arial"/>
        <family val="2"/>
      </rPr>
      <t xml:space="preserve">Под заказ </t>
    </r>
  </si>
  <si>
    <r>
      <t xml:space="preserve">TOPCEM                    </t>
    </r>
    <r>
      <rPr>
        <b/>
        <sz val="8"/>
        <color indexed="10"/>
        <rFont val="Arial"/>
        <family val="2"/>
      </rPr>
      <t xml:space="preserve"> Под заказ </t>
    </r>
  </si>
  <si>
    <t>Самовыравнивающиеся составы</t>
  </si>
  <si>
    <r>
      <t xml:space="preserve">ULTRAPLAN             </t>
    </r>
    <r>
      <rPr>
        <b/>
        <sz val="8"/>
        <color indexed="10"/>
        <rFont val="Arial"/>
        <family val="2"/>
      </rPr>
      <t xml:space="preserve"> Под заказ </t>
    </r>
  </si>
  <si>
    <r>
      <t xml:space="preserve">ULTRAPLAN ECO 20   </t>
    </r>
    <r>
      <rPr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новый продукт!</t>
    </r>
  </si>
  <si>
    <t>Клей для теплоизоляции</t>
  </si>
  <si>
    <t>NIVOPLAN PLUS</t>
  </si>
  <si>
    <t>MAPEKLEY EXTRA</t>
  </si>
  <si>
    <t>RESFOAM 1K-M        упак.  20 кг</t>
  </si>
  <si>
    <t xml:space="preserve">шпатель резиновый для заполнения швов (импорт) </t>
  </si>
  <si>
    <t xml:space="preserve">губка для заполнения швов (импорт) </t>
  </si>
  <si>
    <t xml:space="preserve">ведро пластиковое мерное 25 л (импорт) </t>
  </si>
  <si>
    <t xml:space="preserve">комплект для затирания эпоксидных затирок (шпатель +2 губки) (импорт) </t>
  </si>
  <si>
    <t xml:space="preserve">губка сменная  для эпоксидных затирок черная жесткая (импорт) </t>
  </si>
  <si>
    <t xml:space="preserve">губка сменная  для эпоксидных затирок белая мягкая  (импорт) </t>
  </si>
  <si>
    <t>образцы UltracolorPlus пенал (Россия)</t>
  </si>
  <si>
    <t>образцы UltracolorPlus планшет (Россия)</t>
  </si>
  <si>
    <t xml:space="preserve">Kerapoxy Design планшет (Россия) </t>
  </si>
  <si>
    <t>Цена в руб. с НДС</t>
  </si>
  <si>
    <t>MAPEGLITTER B.GREEN коробка10X0,1 кг</t>
  </si>
  <si>
    <t>MAPEGLITTER BLACK   коробка10X0,1 кг</t>
  </si>
  <si>
    <t>MAPEGLITTER BRONZE  коробка10X0,1 кг</t>
  </si>
  <si>
    <t>MAPEGLITTER BROWN   коробка10X0,1 кг</t>
  </si>
  <si>
    <t>MAPEGLITTER BURNISH.коробка10X0,1 кг</t>
  </si>
  <si>
    <t>MAPEGLITTER COPPER  коробка10X0,1 кг</t>
  </si>
  <si>
    <t>MAPEGLITTER D.BLUE  коробка10X0,1 кг</t>
  </si>
  <si>
    <t>MAPEGLITTER FUCHSIA коробка10X0,1 кг</t>
  </si>
  <si>
    <t>MAPEGLITTER GOLD    коробка10X0,1 кг</t>
  </si>
  <si>
    <t>MAPEGLITTER GREEN   коробка10X0,1 кг</t>
  </si>
  <si>
    <t>MAPEGLITTER L.GOLD  FST.0,500 кг</t>
  </si>
  <si>
    <t>MAPEGLITTER L.GOLD  коробка10X0,1 кг</t>
  </si>
  <si>
    <t>MAPEGLITTER M.BLUE  коробка10X0,1 кг</t>
  </si>
  <si>
    <t>MAPEGLITTER №BLUE  коробка10X0,1 кг</t>
  </si>
  <si>
    <t>MAPEGLITTER P.GREEN коробка10X0,1 кг</t>
  </si>
  <si>
    <t>MAPEGLITTER P.SKY   коробка10X0,1 кг</t>
  </si>
  <si>
    <t>MAPEGLITTER P.VIOL. коробка10X0,1 кг</t>
  </si>
  <si>
    <t>MAPEGLITTER PINK    коробка10X0,1 кг</t>
  </si>
  <si>
    <t>MAPEGLITTER PURPLE  коробка10X0,1 кг</t>
  </si>
  <si>
    <t>MAPEGLITTER R.BLUE  коробка10X0,1 кг</t>
  </si>
  <si>
    <t>MAPEGLITTER RED     коробка10X0,1 кг</t>
  </si>
  <si>
    <t>MAPEGLITTER SAND    коробка10X0,1 кг</t>
  </si>
  <si>
    <t>MAPEGLITTER SILVER  коробка10X0,1 кг</t>
  </si>
  <si>
    <t>MAPEGLITTER SKY     коробка10X0,1 кг</t>
  </si>
  <si>
    <t>MAPEGLITTER VIOLET  коробка10X0,1 кг</t>
  </si>
  <si>
    <t>MAPESIL AC №100       упак.  12 шт х 310 мл</t>
  </si>
  <si>
    <t>MAPESIL AC №110       упак.  12 шт х 310 мл</t>
  </si>
  <si>
    <t>MAPESIL AC №111       упак.  12 шт х 310 мл</t>
  </si>
  <si>
    <t>MAPESIL AC №112       упак.  12 шт х 310 мл</t>
  </si>
  <si>
    <t>MAPESIL AC №113       упак.  12 шт х 310 мл</t>
  </si>
  <si>
    <t>MAPESIL AC №114       упак.  12 шт х 310 мл</t>
  </si>
  <si>
    <t>MAPESIL AC №120       упак.  12 шт х 310 мл</t>
  </si>
  <si>
    <t>MAPESIL AC №130       упак.  12 шт х 310 мл</t>
  </si>
  <si>
    <t>MAPESIL AC №131       упак.  12 шт х 310 мл</t>
  </si>
  <si>
    <t>MAPESIL AC №132       упак.  12 шт х 310 мл</t>
  </si>
  <si>
    <t>MAPESIL AC №140       упак.  12 шт х 310 мл</t>
  </si>
  <si>
    <t>MAPESIL AC №141       упак.  12 шт х 310 мл</t>
  </si>
  <si>
    <t>MAPESIL AC №142       упак.  12 шт х 310 мл</t>
  </si>
  <si>
    <t>MAPESIL AC №143       упак.  12 шт х 310 мл</t>
  </si>
  <si>
    <t>MAPESIL AC №144       упак.  12 шт х 310 мл</t>
  </si>
  <si>
    <t>MAPESIL AC №145       упак.  12 шт х 310 мл</t>
  </si>
  <si>
    <t>MAPESIL AC №150       упак.  12 шт х 310 мл</t>
  </si>
  <si>
    <t>MAPESIL AC №160       упак.  12 шт х 310 мл</t>
  </si>
  <si>
    <t>MAPESIL AC №161       упак.  12 шт х 310 мл</t>
  </si>
  <si>
    <t>MAPESIL AC №162       упак.  12 шт х 310 мл</t>
  </si>
  <si>
    <t>MAPESIL AC №170       упак.  12 шт х 310 мл</t>
  </si>
  <si>
    <t>MAPESIL AC №171       упак.  12 шт х 310 мл</t>
  </si>
  <si>
    <t>MAPESIL AC №172       упак.  12 шт х 310 мл</t>
  </si>
  <si>
    <t>MAPESIL AC №180       упак.  12 шт х 310 мл</t>
  </si>
  <si>
    <t>MAPESIL AC №181       упак.  12 шт х 310 мл</t>
  </si>
  <si>
    <t>MAPESIL AC №182       упак.  12 шт х 310 мл</t>
  </si>
  <si>
    <t>MAPESIL AC TRASP.       упак.  12 шт х 310 мл</t>
  </si>
  <si>
    <t>ULTRACOLOR PLUS №  140/2кг (Красный корал)</t>
  </si>
  <si>
    <t>ULTRACOLOR PLUS №  140/5кг (Красный корал)</t>
  </si>
  <si>
    <t>ULTRACOLOR PLUS №  145/2кг (Охра)</t>
  </si>
  <si>
    <t>ULTRACOLOR PLUS №  145/5кг (Охра)</t>
  </si>
  <si>
    <t>ULTRACOLOR PLUS №  150/2кг (Желтый)</t>
  </si>
  <si>
    <t>ULTRACOLOR PLUS №  150/5кг (Желтый)</t>
  </si>
  <si>
    <t>ULTRACOLOR PLUS №  160/2кг (Магнолия)</t>
  </si>
  <si>
    <t>ULTRACOLOR PLUS №  160/5кг (Магнолия)</t>
  </si>
  <si>
    <t>ULTRACOLOR PLUS №  161/2кг (Лилово-розовый)</t>
  </si>
  <si>
    <t>ULTRACOLOR PLUS №  161/5кг (Лилово-розовый)</t>
  </si>
  <si>
    <t>ULTRACOLOR PLUS №  162/2кг (Фиолетовый)</t>
  </si>
  <si>
    <t>ULTRACOLOR PLUS №  162/5кг (Фиолетовый)</t>
  </si>
  <si>
    <t>ULTRACOLOR PLUS №  170/2кг (Крокус)</t>
  </si>
  <si>
    <t>ULTRACOLOR PLUS №  170/5кг (Крокус)</t>
  </si>
  <si>
    <t>ULTRACOLOR PLUS №  171/2кг (Бирюзовый)</t>
  </si>
  <si>
    <t>ULTRACOLOR PLUS №  171/5кг (Бирюзовый)</t>
  </si>
  <si>
    <t>ULTRACOLOR PLUS №  172/2кг (Небесно-голубой)</t>
  </si>
  <si>
    <t>ULTRACOLOR PLUS №  172/5кг (Небесно-голубой)</t>
  </si>
  <si>
    <t>ULTRACOLOR PLUS №  180/2кг (Мята)</t>
  </si>
  <si>
    <t>ULTRACOLOR PLUS №  180/5кг (Мята)</t>
  </si>
  <si>
    <t>ULTRACOLOR PLUS №  181/2кг (Нефрит)</t>
  </si>
  <si>
    <t>ULTRACOLOR PLUS №  181/5кг (Нефрит)</t>
  </si>
  <si>
    <t>ULTRACOLOR PLUS №  182/2кг (Турмалин)</t>
  </si>
  <si>
    <t>ULTRACOLOR PLUS №  182/5кг (Турмалин)</t>
  </si>
  <si>
    <t>ULTRACOLOR PLUS №  258/2кг (Бронзовый)</t>
  </si>
  <si>
    <t>ULTRACOLOR PLUS №  258/5кг (Бронзовый)</t>
  </si>
  <si>
    <t>ULTRACOLOR PLUS №  259/2кг (Орех)</t>
  </si>
  <si>
    <t>ULTRACOLOR PLUS №  259/5кг (Орех)</t>
  </si>
  <si>
    <t>ULTRACOLOR PLUS №  260/2кг (Оливковый)</t>
  </si>
  <si>
    <t>ULTRACOLOR PLUS №  260/5кг (Оливковый)</t>
  </si>
  <si>
    <t>ULTRACOLOR PLUS №  61/2кг (Гранатовый)</t>
  </si>
  <si>
    <t>ULTRACOLOR PLUS №  61/5кг (Гранатовый)</t>
  </si>
  <si>
    <t>088105</t>
  </si>
  <si>
    <t>088110</t>
  </si>
  <si>
    <t>088125</t>
  </si>
  <si>
    <t>088132</t>
  </si>
  <si>
    <t>014132</t>
  </si>
  <si>
    <t>015138</t>
  </si>
  <si>
    <t>5K70003</t>
  </si>
  <si>
    <t>5K71003</t>
  </si>
  <si>
    <t>5K72003</t>
  </si>
  <si>
    <t>5K73003</t>
  </si>
  <si>
    <t>5K74003</t>
  </si>
  <si>
    <t>5K75003</t>
  </si>
  <si>
    <t>5K76003</t>
  </si>
  <si>
    <t>5K77003</t>
  </si>
  <si>
    <t>4510010</t>
  </si>
  <si>
    <t>4510003</t>
  </si>
  <si>
    <t>4511005</t>
  </si>
  <si>
    <t>4511010</t>
  </si>
  <si>
    <t>4511003</t>
  </si>
  <si>
    <t>4511105</t>
  </si>
  <si>
    <t>4511110</t>
  </si>
  <si>
    <t>4511103</t>
  </si>
  <si>
    <t>4511205</t>
  </si>
  <si>
    <t>4511210</t>
  </si>
  <si>
    <t>4511203</t>
  </si>
  <si>
    <t>4511305</t>
  </si>
  <si>
    <t>4511310</t>
  </si>
  <si>
    <t>4511303</t>
  </si>
  <si>
    <t>4511405</t>
  </si>
  <si>
    <t>4511410</t>
  </si>
  <si>
    <t>4511403</t>
  </si>
  <si>
    <t>4512005</t>
  </si>
  <si>
    <t>4512010</t>
  </si>
  <si>
    <t>4512003</t>
  </si>
  <si>
    <t>4513005</t>
  </si>
  <si>
    <t>4513010</t>
  </si>
  <si>
    <t>4513003</t>
  </si>
  <si>
    <t>4513105</t>
  </si>
  <si>
    <t>4513110</t>
  </si>
  <si>
    <t>4513103</t>
  </si>
  <si>
    <t>4513205</t>
  </si>
  <si>
    <t>4513210</t>
  </si>
  <si>
    <t>4513203</t>
  </si>
  <si>
    <t>4514005</t>
  </si>
  <si>
    <t>4514010</t>
  </si>
  <si>
    <t>4514042</t>
  </si>
  <si>
    <t>4514105</t>
  </si>
  <si>
    <t>4514110</t>
  </si>
  <si>
    <t>4514103</t>
  </si>
  <si>
    <t>4514205</t>
  </si>
  <si>
    <t>4514210</t>
  </si>
  <si>
    <t>4514203</t>
  </si>
  <si>
    <t>4514305</t>
  </si>
  <si>
    <t>4514310</t>
  </si>
  <si>
    <t>4514303</t>
  </si>
  <si>
    <t>4514405</t>
  </si>
  <si>
    <t>4514410</t>
  </si>
  <si>
    <t>4514403</t>
  </si>
  <si>
    <t>4514505</t>
  </si>
  <si>
    <t>4514510</t>
  </si>
  <si>
    <t>4514542</t>
  </si>
  <si>
    <t>4515005</t>
  </si>
  <si>
    <t>4515010</t>
  </si>
  <si>
    <t>4515042</t>
  </si>
  <si>
    <t>4516005</t>
  </si>
  <si>
    <t>4516010</t>
  </si>
  <si>
    <t>4516042</t>
  </si>
  <si>
    <t>4516105</t>
  </si>
  <si>
    <t>4516110</t>
  </si>
  <si>
    <t>4516142</t>
  </si>
  <si>
    <t>4516205</t>
  </si>
  <si>
    <t>4516210</t>
  </si>
  <si>
    <t>4516242</t>
  </si>
  <si>
    <t>4517005</t>
  </si>
  <si>
    <t>4517010</t>
  </si>
  <si>
    <t>4517042</t>
  </si>
  <si>
    <t>4517105</t>
  </si>
  <si>
    <t>4517110</t>
  </si>
  <si>
    <t>4517142</t>
  </si>
  <si>
    <t>4517205</t>
  </si>
  <si>
    <t>4517210</t>
  </si>
  <si>
    <t>4517242</t>
  </si>
  <si>
    <t>4518005</t>
  </si>
  <si>
    <t>4518010</t>
  </si>
  <si>
    <t>4518042</t>
  </si>
  <si>
    <t>4518105</t>
  </si>
  <si>
    <t>4518110</t>
  </si>
  <si>
    <t>4518142</t>
  </si>
  <si>
    <t>4518205</t>
  </si>
  <si>
    <t>4518210</t>
  </si>
  <si>
    <t>4518242</t>
  </si>
  <si>
    <t>4525842</t>
  </si>
  <si>
    <t>4525805</t>
  </si>
  <si>
    <t>4525942</t>
  </si>
  <si>
    <t>4525905</t>
  </si>
  <si>
    <t>4526005</t>
  </si>
  <si>
    <t>4526042</t>
  </si>
  <si>
    <t>016110</t>
  </si>
  <si>
    <t>016138</t>
  </si>
  <si>
    <t>551106</t>
  </si>
  <si>
    <t>551111</t>
  </si>
  <si>
    <t>550306</t>
  </si>
  <si>
    <t>550311</t>
  </si>
  <si>
    <t>55A11206</t>
  </si>
  <si>
    <t>195240</t>
  </si>
  <si>
    <t>195340</t>
  </si>
  <si>
    <t>195440</t>
  </si>
  <si>
    <t>4594560</t>
  </si>
  <si>
    <t>4594860</t>
  </si>
  <si>
    <t>4595760</t>
  </si>
  <si>
    <t>4595660</t>
  </si>
  <si>
    <t>4595360</t>
  </si>
  <si>
    <t>4595560</t>
  </si>
  <si>
    <t>4593860</t>
  </si>
  <si>
    <t>4595960</t>
  </si>
  <si>
    <t>4595060</t>
  </si>
  <si>
    <t>4594360</t>
  </si>
  <si>
    <t>4595155</t>
  </si>
  <si>
    <t>4595160</t>
  </si>
  <si>
    <t>4593660</t>
  </si>
  <si>
    <t>4593960</t>
  </si>
  <si>
    <t>4594460</t>
  </si>
  <si>
    <t>4594760</t>
  </si>
  <si>
    <t>4594160</t>
  </si>
  <si>
    <t>4595860</t>
  </si>
  <si>
    <t>4594260</t>
  </si>
  <si>
    <t>4593760</t>
  </si>
  <si>
    <t>4594960</t>
  </si>
  <si>
    <t>4595460</t>
  </si>
  <si>
    <t>4595260</t>
  </si>
  <si>
    <t>4594660</t>
  </si>
  <si>
    <t>4594060</t>
  </si>
  <si>
    <t>4810042</t>
  </si>
  <si>
    <t>4811042</t>
  </si>
  <si>
    <t>4811142</t>
  </si>
  <si>
    <t>4811242</t>
  </si>
  <si>
    <t>4811342</t>
  </si>
  <si>
    <t>4811442</t>
  </si>
  <si>
    <t>4812042</t>
  </si>
  <si>
    <t>4813042</t>
  </si>
  <si>
    <t>4813142</t>
  </si>
  <si>
    <t>4813242</t>
  </si>
  <si>
    <t>4814042</t>
  </si>
  <si>
    <t>4814142</t>
  </si>
  <si>
    <t>4814242</t>
  </si>
  <si>
    <t>4814342</t>
  </si>
  <si>
    <t>4814442</t>
  </si>
  <si>
    <t>4814542</t>
  </si>
  <si>
    <t>4815042</t>
  </si>
  <si>
    <t>4816042</t>
  </si>
  <si>
    <t>4816142</t>
  </si>
  <si>
    <t>4816242</t>
  </si>
  <si>
    <t>4817042</t>
  </si>
  <si>
    <t>4817142</t>
  </si>
  <si>
    <t>4817242</t>
  </si>
  <si>
    <t>4818042</t>
  </si>
  <si>
    <t>4818142</t>
  </si>
  <si>
    <t>4818242</t>
  </si>
  <si>
    <t>4899942</t>
  </si>
  <si>
    <t>4480025</t>
  </si>
  <si>
    <t>073115</t>
  </si>
  <si>
    <t>073125</t>
  </si>
  <si>
    <t>061170</t>
  </si>
  <si>
    <t>061138</t>
  </si>
  <si>
    <t>076138</t>
  </si>
  <si>
    <t>077105</t>
  </si>
  <si>
    <t>077125</t>
  </si>
  <si>
    <t>077505</t>
  </si>
  <si>
    <t>077510</t>
  </si>
  <si>
    <t>123105</t>
  </si>
  <si>
    <t>BIBLOCK комп. А (2,5 кг)</t>
  </si>
  <si>
    <t>124105</t>
  </si>
  <si>
    <t>BIBLOCK комп. В (2,5 кг)</t>
  </si>
  <si>
    <t>7K000020</t>
  </si>
  <si>
    <t>140825</t>
  </si>
  <si>
    <t>140906</t>
  </si>
  <si>
    <t>156103</t>
  </si>
  <si>
    <t>EPOJET A    2 кг</t>
  </si>
  <si>
    <t>157103</t>
  </si>
  <si>
    <t>EPOJET B    0,5 кг</t>
  </si>
  <si>
    <t>156104</t>
  </si>
  <si>
    <t>EPOJET A  3,2 кг</t>
  </si>
  <si>
    <t>157104</t>
  </si>
  <si>
    <t>EPOJET B  0,8 кг</t>
  </si>
  <si>
    <t>152102</t>
  </si>
  <si>
    <t>EPORIP A  канистры  1,5 кг</t>
  </si>
  <si>
    <t>153102</t>
  </si>
  <si>
    <t>EPORIP  B  канистры  0,5 кг</t>
  </si>
  <si>
    <t>152110</t>
  </si>
  <si>
    <t>EPORIP A  канистры  7,5 кг</t>
  </si>
  <si>
    <t>153110</t>
  </si>
  <si>
    <t>EPORIP B  канистры  2,5 кг</t>
  </si>
  <si>
    <t>153536</t>
  </si>
  <si>
    <t>EPORIP TURBO A+B   0,5 + 0,008 kg</t>
  </si>
  <si>
    <t>1781150</t>
  </si>
  <si>
    <t>138250</t>
  </si>
  <si>
    <t>140606</t>
  </si>
  <si>
    <t>091125</t>
  </si>
  <si>
    <t>092139</t>
  </si>
  <si>
    <t>177138</t>
  </si>
  <si>
    <t>176160</t>
  </si>
  <si>
    <t>176560</t>
  </si>
  <si>
    <t>097105</t>
  </si>
  <si>
    <t>097110</t>
  </si>
  <si>
    <t>097125</t>
  </si>
  <si>
    <t>097132</t>
  </si>
  <si>
    <t>097183</t>
  </si>
  <si>
    <t>038105</t>
  </si>
  <si>
    <t>038110</t>
  </si>
  <si>
    <t>038125</t>
  </si>
  <si>
    <t>103505</t>
  </si>
  <si>
    <t>103510</t>
  </si>
  <si>
    <t>103605</t>
  </si>
  <si>
    <t>103610</t>
  </si>
  <si>
    <t>012125</t>
  </si>
  <si>
    <t>160025</t>
  </si>
  <si>
    <t>160045</t>
  </si>
  <si>
    <t>166105</t>
  </si>
  <si>
    <t>215110</t>
  </si>
  <si>
    <t>256110</t>
  </si>
  <si>
    <t>7953050</t>
  </si>
  <si>
    <t>276645</t>
  </si>
  <si>
    <t>139102</t>
  </si>
  <si>
    <t>136124</t>
  </si>
  <si>
    <t>MAPEFINISH A       24 кг</t>
  </si>
  <si>
    <t>135106</t>
  </si>
  <si>
    <t>MAPEFINISH B       6 кг</t>
  </si>
  <si>
    <t>170179</t>
  </si>
  <si>
    <t>173179</t>
  </si>
  <si>
    <t>174178</t>
  </si>
  <si>
    <t>175178</t>
  </si>
  <si>
    <t>175578</t>
  </si>
  <si>
    <t>124805</t>
  </si>
  <si>
    <t>124810</t>
  </si>
  <si>
    <t>124825</t>
  </si>
  <si>
    <t>168108</t>
  </si>
  <si>
    <t>167720</t>
  </si>
  <si>
    <t>MAPELASTIC SMART A 20 кг</t>
  </si>
  <si>
    <t>168710</t>
  </si>
  <si>
    <t>MAPELASTIC SMART В 10 кг</t>
  </si>
  <si>
    <t>155505</t>
  </si>
  <si>
    <t>120125</t>
  </si>
  <si>
    <t>037105</t>
  </si>
  <si>
    <t>037110</t>
  </si>
  <si>
    <t>037125</t>
  </si>
  <si>
    <t>120325</t>
  </si>
  <si>
    <t>026112</t>
  </si>
  <si>
    <t>026130</t>
  </si>
  <si>
    <t>019159</t>
  </si>
  <si>
    <t>020125</t>
  </si>
  <si>
    <t>020105</t>
  </si>
  <si>
    <t>020110</t>
  </si>
  <si>
    <t>020132</t>
  </si>
  <si>
    <t>020183</t>
  </si>
  <si>
    <t>241106</t>
  </si>
  <si>
    <t>022110</t>
  </si>
  <si>
    <t>109125</t>
  </si>
  <si>
    <t>244620</t>
  </si>
  <si>
    <t>244701</t>
  </si>
  <si>
    <t>51000020</t>
  </si>
  <si>
    <t>51099510</t>
  </si>
  <si>
    <t>7C000020</t>
  </si>
  <si>
    <t>135331</t>
  </si>
  <si>
    <t>TRIBLOCK FINISH A    упак. 1,5 кг</t>
  </si>
  <si>
    <t>135431</t>
  </si>
  <si>
    <t>TRIBLOCK FINISH В   упак. 4,75 кг</t>
  </si>
  <si>
    <t>135531</t>
  </si>
  <si>
    <t>TRIBLOCK FINISH С    упак. 25 кг</t>
  </si>
  <si>
    <t>2903515</t>
  </si>
  <si>
    <t>010312</t>
  </si>
  <si>
    <t>010332</t>
  </si>
  <si>
    <t>5S40325</t>
  </si>
  <si>
    <t>179105</t>
  </si>
  <si>
    <t>179505</t>
  </si>
  <si>
    <t>0,5+0,008=0,508 кг</t>
  </si>
  <si>
    <t>24 кг + 6 кг = 30 кг</t>
  </si>
  <si>
    <t>25 кг + 6 кг = 30 кг</t>
  </si>
  <si>
    <t>20 кг + 10 кг = 30 кг</t>
  </si>
  <si>
    <t>21 кг + 10 кг = 30 кг</t>
  </si>
  <si>
    <t>1,5+4,75+25=31,25 кг</t>
  </si>
  <si>
    <t>5K70203</t>
  </si>
  <si>
    <t>KERAPOXY DESIGN N.702  упаковка 3 кг</t>
  </si>
  <si>
    <t>5K70303</t>
  </si>
  <si>
    <t>KERAPOXY DESIGN N.703  упаковка 3 кг</t>
  </si>
  <si>
    <t>5K70403</t>
  </si>
  <si>
    <t>KERAPOXY DESIGN N.704  упаковка 3 кг</t>
  </si>
  <si>
    <t>5K71503</t>
  </si>
  <si>
    <t>KERAPOXY DESIGN N.715  упаковка 3 кг</t>
  </si>
  <si>
    <t>5K71603</t>
  </si>
  <si>
    <t>KERAPOXY DESIGN N.716  упаковка 3 кг</t>
  </si>
  <si>
    <t>5K72803</t>
  </si>
  <si>
    <t>KERAPOXY DESIGN N.728  упаковка 3 кг</t>
  </si>
  <si>
    <t>5K72903</t>
  </si>
  <si>
    <t>KERAPOXY DESIGN N.729  упаковка 3 кг</t>
  </si>
  <si>
    <t>5K73103</t>
  </si>
  <si>
    <t>KERAPOXY DESIGN N.731  упаковка 3 кг</t>
  </si>
  <si>
    <t>5K73503</t>
  </si>
  <si>
    <t>KERAPOXY DESIGN N.735  упаковка 3 кг</t>
  </si>
  <si>
    <t>5K73903</t>
  </si>
  <si>
    <t>KERAPOXY DESIGN N.739  упаковка 3 кг</t>
  </si>
  <si>
    <t>5K74103</t>
  </si>
  <si>
    <t>KERAPOXY DESIGN N.741  упаковка 3 кг</t>
  </si>
  <si>
    <t>5K74403</t>
  </si>
  <si>
    <t>KERAPOXY DESIGN N.744  упаковка 3 кг</t>
  </si>
  <si>
    <t>5K74503</t>
  </si>
  <si>
    <t>KERAPOXY DESIGN N.745  упаковка 3 кг</t>
  </si>
  <si>
    <t>5K79903</t>
  </si>
  <si>
    <t>KERAPOXY DESIGN N.799  упаковка 3 кг</t>
  </si>
  <si>
    <t>KERAPOXY DESIGN N.717  упаковка 3 кг</t>
  </si>
  <si>
    <t>KERAPOXY DESIGN N.727  упаковка 3 кг</t>
  </si>
  <si>
    <t>KERAPOXY DESIGN N.732  упаковка 3 кг</t>
  </si>
  <si>
    <t>KERAPOXY DESIGN N.733  упаковка 3 кг</t>
  </si>
  <si>
    <t>KERAPOXY DESIGN N.734  упаковка 3 кг</t>
  </si>
  <si>
    <t>KERAPOXY DESIGN N.736  упаковка 3 кг</t>
  </si>
  <si>
    <t>KERAPOXY DESIGN N.737  упаковка 3 кг</t>
  </si>
  <si>
    <t>KERAPOXY DESIGN N.738  упаковка 3 кг</t>
  </si>
  <si>
    <t>KERAPOXY DESIGN N.742  упаковка 3 кг</t>
  </si>
  <si>
    <t>KERAPOXY DESIGN N.743  упаковка 3 кг</t>
  </si>
  <si>
    <t>KERAPOXY DESIGN N.746  упаковка 3 кг</t>
  </si>
  <si>
    <t>Q4 2011</t>
  </si>
  <si>
    <t>PRIMER MF /A        4,5 кг</t>
  </si>
  <si>
    <t xml:space="preserve"> 4,5+1,5=6 кг</t>
  </si>
  <si>
    <t>241506</t>
  </si>
  <si>
    <t>PRIMER MF /B       1,5 кг</t>
  </si>
  <si>
    <t>5K71703</t>
  </si>
  <si>
    <t>5K72703</t>
  </si>
  <si>
    <t>5K73203</t>
  </si>
  <si>
    <t>5K73303</t>
  </si>
  <si>
    <t>5K73403</t>
  </si>
  <si>
    <t>5K73603</t>
  </si>
  <si>
    <t>5K73703</t>
  </si>
  <si>
    <t>5K73803</t>
  </si>
  <si>
    <t>5K74203</t>
  </si>
  <si>
    <t>5K74303</t>
  </si>
  <si>
    <t>5K74603</t>
  </si>
  <si>
    <t>Материалы</t>
  </si>
  <si>
    <t>Цены на продукцию в евро за единицу  с учётом НДС</t>
  </si>
  <si>
    <t>евро/за ед.</t>
  </si>
  <si>
    <t>Клей для беспустотной укладки керамической плитки и натурального камня быстросхватывающийся, плотно прилегающий цементный клей с повышенной адгезией</t>
  </si>
  <si>
    <t>Улучшенный клей на цементной основе, эластифицированный, без оползания на вертикальных поверхностях, с увеличенным открытым временем для укладки керамогранита при внутренних работах и всех видов керамической плитки при наружных и внутренних работах</t>
  </si>
  <si>
    <t>Улучшенный белый клей на цементной основе, эластифицированный, без оползания на вертикальных поверхностях, с увеличенным открытым временем для укладки стекломозаики, керамической плитки и мрамора</t>
  </si>
  <si>
    <t>Тиксотропный клей на цементной основе для керамической плитки</t>
  </si>
  <si>
    <t>Двухкомпонентный цементный клей с высокими показателями и нулевым вертикальным оползанием для укладки керамической плитки, стеклянной мозаики и камня</t>
  </si>
  <si>
    <t>Улучшенный клей на цементной основе, без оползания на вертикальных поверхностях, с увеличенным открытым временем для укладки керамической плитки и натурального камня</t>
  </si>
  <si>
    <t>Эластичный клей на цементной основе с улучшенными характеристиками, без оползания на вертикальных поверхностях и с увеличенным открытым временем для укладки керамической плитки и натурального камня: особенно рекомендован для укладки плит из натурального камня и керамогранита большого размера (толщина слоя от 3 до 15 мм)</t>
  </si>
  <si>
    <t>Клей на цементной основе для керамической плитки</t>
  </si>
  <si>
    <t>Быстросхватывающийся и быстросохнущий заполнитель швов с улучшенными характеристиками, без высаливания, с водоотталкивающим эффектом Drop Effect и антигрибковой технологией BioBlock, предназначенный для заполнения швов шириной от 2 до 20 мм</t>
  </si>
  <si>
    <t>Двухкомпонентный эластичный состав на цементной основе для гидроизоляции бетона на балконах, террасах, в ванных и плавательных бассейнах</t>
  </si>
  <si>
    <t>Осмотический раствор на цементной основе для гидроизоляции бетонных конструкций и кирпичной кладки, подходит при контракте с питьевой водой</t>
  </si>
  <si>
    <t>Смециальное быстросхватывающееся гидравлическое вяжущее для подготовки быстросохнущих стяжек (24 часа) с контролируемой усадкой</t>
  </si>
  <si>
    <t>Готовый к применению быстросхватывающийся и быстросохнущий (24 часа) состав для изготовления стяжек</t>
  </si>
  <si>
    <t>Готовый к применению быстросохнущий (4 дня) состав для изготовления стяжек с нормальным временем схватывания и контролируемой усадкой</t>
  </si>
  <si>
    <t>Специальное быстросохнущее гидравлическое вяжущее для изготовления стяжек с нормальным временем схватывания, быстрым высыханием (4 дня) и контролируемой усадкой</t>
  </si>
  <si>
    <t>Быстросхватывающаяся и самовыравнивающаяся смесь</t>
  </si>
  <si>
    <t>Быстросхватывающаяся и самовыравнивающаяся смесь с очень низким содержанием летучих органических веществ</t>
  </si>
  <si>
    <t>Однокомпонентный цементный состав для приклеивания и выравнивания теплоизоляционных поверхностей</t>
  </si>
  <si>
    <t>Состав на цементной основе для выравнивания стен, потолков и полов внутри и снаружи помещений</t>
  </si>
  <si>
    <t>Жидкая полимерная добавка для Keracolor FF или GG</t>
  </si>
  <si>
    <t>Кислотосодержащий очиститель для керамической плитки</t>
  </si>
  <si>
    <t>Двухкомпонентный декоративный кислотостойкий эпоксидный шовный заполнитель (7 основных цветов + нейтральный № 700 и 22 цвета предоставляются по запросу), идеально подходит для стеклянной мозаики, может применяться в качестве клея</t>
  </si>
  <si>
    <t>Двухкомпонентный кислотостойкий эпоксидный заполнитель (представленный в цветовой гамме из 26 цветов) швов шириной не менее 3 мм, применяемый также в качестве клея</t>
  </si>
  <si>
    <t>Водонепроницаемый лак для пористой керамической плитки (тосканского кафеля и пр.)</t>
  </si>
  <si>
    <t>Двухкомпонентный самовыравнивающийся эпоксидно-полиуретановый герметик с повышенной механической прочностью</t>
  </si>
  <si>
    <t>Двухкомпонентный тиксотропный эпоксидно-полиуретановый герметик с высокой химической стойкостью и механической прочностью</t>
  </si>
  <si>
    <t>Тиксотропный герметик на полиуретановой основе с низким модулем эластичности</t>
  </si>
  <si>
    <t>Тиксотропный быстросхватывающийся полиуретановый герметик и клей с высоким модулем эластичности</t>
  </si>
  <si>
    <t>Полиуретановый герметик для горизонтальных поверхностей с низким модулем эластичности</t>
  </si>
  <si>
    <t>Металлизированная цветная добавка для шовного заполнителя Kerapoxy Design (24 цвета)</t>
  </si>
  <si>
    <t>Силиконовый герметик с ретикуляцией на уксусной основе, стойкий к плесени, изготовленный без использования растворителей (прозрачный и 26 цветов)</t>
  </si>
  <si>
    <t>Высококачественный полимеросодержащий быстросхватывающийся и быстросохнущий невыцветающий шовный заполнитель (от 2 до 20 мм) с гидрофобным эффектом DrobEffect и антигрибковым барьером BioBlock</t>
  </si>
  <si>
    <t>Супер-клей для сварки ПВХ труб высокого давления и длярезиновой ленты MAPEBAND</t>
  </si>
  <si>
    <t>Бесцветная водоотталкивающая пропитка на основе силиконовых смол в водном растворе</t>
  </si>
  <si>
    <t>Бесцветная водоотталкивающая пропитка на основе силановых и силоксановых смол в водном растворе</t>
  </si>
  <si>
    <t>Двухкомпонентный эпоксидный вододисперсионный пленкообразующий состав для бетона, дополнительно обладающий укрепляющими и обеспылевающими свойствами</t>
  </si>
  <si>
    <t>Эластичная вододисперсионная краска на основе акриловых смол для защиты поверхностей, гидроизолированных с помощью Mapelastic или Mapelastic Smart и находящихся в постоянном контакте с водой</t>
  </si>
  <si>
    <t>Быстросхватывающийся высокодеформативный двухкомпонентный клей на цементной основе с увеличенным открытым временем  и улучшенными свойствами для укладки керамической плитки, природного и искуственного камня без вертикального оползания</t>
  </si>
  <si>
    <t>Двухкомпонентная супертекучая эпоксидная смола дл инъекций</t>
  </si>
  <si>
    <t>Двухкомпонентный эпоксидный клей без содержания растворителей для соединения конструкций и монолитного заполнения трещин в основании</t>
  </si>
  <si>
    <t>Сверхбыстросхватывающаяся двухкомпонентная полиэфирная смола для герметизации трещин в стяжках и мелких ремонтных работ</t>
  </si>
  <si>
    <t>Щелочестойкая стекловолоконная сетка с размером ячеек 4*4,5 мм, применяемая для армирования систем гидро- и теплоизоляции</t>
  </si>
  <si>
    <t>Высокодеформативный, улучшенный, двухкомпонентный клей на цементной основе, с ускоренным схватыванием и гидратацией для укладки керамической плитки и натурального камня. Часть А</t>
  </si>
  <si>
    <t>Высокодеформативный, улучшенный, двухкомпонентный клей на цементной основе, с ускоренным схватыванием и гидратацией для укладки керамической плитки и натурального камня. Часть В</t>
  </si>
  <si>
    <t>Гидроизолирующая добавка к бетону и цементным растворам</t>
  </si>
  <si>
    <t>Гидрофильный эластичный профиль для герметизации рабочих соединений</t>
  </si>
  <si>
    <t>Однокомпонентный клей для установки профилей Idrostop</t>
  </si>
  <si>
    <t>Эластифицирующия латекская добавка для смешивания с составами Kerabond, Kerafloor, Adesilex P10</t>
  </si>
  <si>
    <t>Латексная добавка для добавления к порошку Keracrete Powder или песку с цементом</t>
  </si>
  <si>
    <t>Тиксотропный двухкомпонентный полиуретановый клей с улучшенными характеристиками для керамической плитки и камня</t>
  </si>
  <si>
    <t>Быстросхватывающийся клей на цементной основе с улучшенными характеристиками и без оползания на вертикальной поверхности для керамической плитки и натурального камня</t>
  </si>
  <si>
    <t>Готовый к употеблению сверхбыстросхватывающийся безусадочный раствор на цементной основе</t>
  </si>
  <si>
    <t>Сверхбыстросхватывающееся и быстро твердеющее гидравлическое вяжущее для остановки водных протечек</t>
  </si>
  <si>
    <t>Латексная добавка для Nivorapid, обеспечивающая повышение эластичности и адгезии на сложных основаниях</t>
  </si>
  <si>
    <t>Тонкодисперсная грунтовка на основе водной дисперсии акриловых смол</t>
  </si>
  <si>
    <t>Щелочестойкая резиновая лента для цементных систем гидроизоляции и жидких гидроизоляционных мембран</t>
  </si>
  <si>
    <t>Двухкомпонентный состав для защиты стальной арматуры от коррозии</t>
  </si>
  <si>
    <t>Двухкомпонентный цементный состав для защиты и финишной отделки бетона</t>
  </si>
  <si>
    <t>Шнур круглого сечения из прессованного пенополиэтилена для коррекции размерности деформационных швов</t>
  </si>
  <si>
    <t>Быстросохнущая эластичная жидкая мембрана для гидроизоляции внутри помещений</t>
  </si>
  <si>
    <t>Двухкомпонентный высокоэластичный цементный состав для гидроизоляции бетонных поверхностей и для защиты от воздействия агрессивных агентов</t>
  </si>
  <si>
    <t>Жидкий компонент Mapelastic (двухкомпонентный эластичный гидроизоляционный состав на цементной основе)</t>
  </si>
  <si>
    <t>Однокомпонентная грунтовка в водной дисперсии, не содержащая растворителей</t>
  </si>
  <si>
    <t>Быстросхватывающийся тиксотропный цементный выравнивающий состав для вертикальных и горизонтальных поверхностей</t>
  </si>
  <si>
    <t>Латекс из синтетического каучука для растворов на цементной основе</t>
  </si>
  <si>
    <t>Универсальная гидроизоляционная битумная эмульсия</t>
  </si>
  <si>
    <t>Вододисперсионная грунтовка на основе синтетических смол</t>
  </si>
  <si>
    <t>Двухкомпонентная эпоксидная грунтовка без содержания растворителя для упрочнения и гидроизоляции цементных оснований</t>
  </si>
  <si>
    <t>Влагозащитная воднодисперсионная грунтовка</t>
  </si>
  <si>
    <t>Не содержащий растворителей укрепляющий состав на силикатной основе для цементных оснований</t>
  </si>
  <si>
    <t>Сверхтекучая однокомпонентная полиуретановая смола для инъекций с регулируемым временем схватывания, для гидроизоляции конструкций, грунтов и оснований, подверженных интенсивным протечкам</t>
  </si>
  <si>
    <t>Модифицированная вододисперсионная грунтовка на основе силиката калия для обработки сильновпитывающих оснований</t>
  </si>
  <si>
    <t>Трехкомпонентный грунтовочный состав на основе эпоксидной смолы и цемента для влажных поверхностей</t>
  </si>
  <si>
    <t>Однокомпонентный высокодеформативный цементный клей с улучшенными характеристиками; без вертикального оползания, с сильно сокращенным расходом, очень легкий и удобный в использовании</t>
  </si>
  <si>
    <t>Готовый пастообразный клей с улучшенными характеристиками, без оползания на вертикальной поверхности и с увеличенным открытым временем для керамической плитки</t>
  </si>
  <si>
    <t>Быстросхватывающийся самовыравнивающийся состав на основе специальных гидравлических вяжущих для производства износостойких полов толщиной от 5 до 40 мм</t>
  </si>
  <si>
    <t>Защитный состав, предохраняющий поверхности от граффити</t>
  </si>
  <si>
    <t>Желеобразный моющий состав для очистки поверхностей, испачканых надписями</t>
  </si>
  <si>
    <t>Грунтовка-краска на основе силиката калия</t>
  </si>
  <si>
    <t>Цена (от 10 т)</t>
  </si>
  <si>
    <t>Цена (до 1,5 т)</t>
  </si>
  <si>
    <t>Цена (от 1,5 до 3 т)</t>
  </si>
  <si>
    <t>KERACOLOR FF-DE № 100  упак.  4 х 5 кг</t>
  </si>
  <si>
    <t>KERACOLOR FF-DE № 110  упак.  4 х 5 кг</t>
  </si>
  <si>
    <t>KERACOLOR FF-DE № 111  упак.  4 х 5 кг</t>
  </si>
  <si>
    <t>KERACOLOR FF-DE № 130  упак.  4 х 5 кг</t>
  </si>
  <si>
    <t>KERACOLOR FF-DE № 131  упак.  4 х 5 кг</t>
  </si>
  <si>
    <t>KERACOLOR FF-DE № 132  упак.  4 х 5 кг</t>
  </si>
  <si>
    <t>KERACOLOR FF-DE № 140  упак.  4 х 5 кг</t>
  </si>
  <si>
    <t>KERACOLOR FF-DE № 141  упак.  4 х 5 кг</t>
  </si>
  <si>
    <t>KERACOLOR FF-DE № 145  упак.  4 х 5 кг</t>
  </si>
  <si>
    <t>KERACOLOR FF-DE № 182  упак.  4 х 5 кг</t>
  </si>
  <si>
    <t>KERACOLOR GG № 100     упак.  4 х 5 кг</t>
  </si>
  <si>
    <t>KERACOLOR GG № 110     упак.  4 х 5 кг</t>
  </si>
  <si>
    <t>KERACOLOR GG № 111     упак.  4 х 5 кг</t>
  </si>
  <si>
    <t>KERACOLOR GG № 112     упак.  4 х 5 кг</t>
  </si>
  <si>
    <t>KERACOLOR GG № 113     упак.  4 х 5 кг</t>
  </si>
  <si>
    <t>KERACOLOR GG № 130     упак.  4 х 5 кг</t>
  </si>
  <si>
    <t>KERACOLOR GG № 131     упак.  4 х 5 кг</t>
  </si>
  <si>
    <t>KERACOLOR GG № 132     упак.  4 х 5 кг</t>
  </si>
  <si>
    <t>KERACOLOR GG № 140     упак.  4 х 5 кг</t>
  </si>
  <si>
    <t>KERACOLOR GG № 141     упак.  4 х 5 кг</t>
  </si>
  <si>
    <t>KERACOLOR GG № 142     упак.  4 х 5 кг</t>
  </si>
  <si>
    <t>KERACOLOR GG № 144     упак.  4 х 5 кг</t>
  </si>
  <si>
    <t>KERACOLOR GG № 160     упак.  4 х 5 кг</t>
  </si>
  <si>
    <t>KERACOLOR GG № 170     упак.  4 х 5 кг</t>
  </si>
  <si>
    <t>KERACOLOR SF №  0     мешок 22 кг</t>
  </si>
  <si>
    <t>Цена с НДС (от 10 т)</t>
  </si>
  <si>
    <t>ООО "АКАДЕМИЯ СТРОИТЕЛЬНЫХ РЕШЕНИЙ"</t>
  </si>
  <si>
    <t>1
Цена (от 10 т)</t>
  </si>
  <si>
    <t>2
Цена (от 3 до 10 т)</t>
  </si>
  <si>
    <t>3
Цена (от 1,5 до 3 т)</t>
  </si>
  <si>
    <t>4
Цена (до 1,5 т)</t>
  </si>
  <si>
    <t>КУРС</t>
  </si>
  <si>
    <t>42 руб.</t>
  </si>
  <si>
    <t>Цена (до 10 т)</t>
  </si>
  <si>
    <t>Цена ( до 10 т)</t>
  </si>
  <si>
    <t>Курс</t>
  </si>
  <si>
    <t>материалы РОССИЙСКОГО ПРОИЗВОДСТВА</t>
  </si>
  <si>
    <t>MAPELASTIC Компонент В</t>
  </si>
  <si>
    <t>MAPELASTIC Компонент A</t>
  </si>
  <si>
    <t>MAPELASTIC Компонент А+В</t>
  </si>
  <si>
    <t>Курс 42 руб.</t>
  </si>
  <si>
    <t>цена за кг</t>
  </si>
  <si>
    <t>Курс 41 руб.</t>
  </si>
  <si>
    <r>
      <t xml:space="preserve">Цена за единицу продукции в </t>
    </r>
    <r>
      <rPr>
        <b/>
        <sz val="10"/>
        <color indexed="10"/>
        <rFont val="Arial"/>
        <family val="2"/>
      </rPr>
      <t>рублях</t>
    </r>
    <r>
      <rPr>
        <b/>
        <sz val="10"/>
        <rFont val="Arial"/>
        <family val="2"/>
      </rPr>
      <t xml:space="preserve"> с учетом НДС</t>
    </r>
  </si>
  <si>
    <t>Цены в рублях</t>
  </si>
  <si>
    <t>Цена с НДС ( до 10 т)</t>
  </si>
  <si>
    <t>руб.</t>
  </si>
  <si>
    <t>Цена с НДС (СТРОГО от 10 т)</t>
  </si>
  <si>
    <t>Курс 40 руб.</t>
  </si>
  <si>
    <t>Цементная штукатурка</t>
  </si>
  <si>
    <t xml:space="preserve">FUGA FRESCA 100 12 x 160 г </t>
  </si>
  <si>
    <t xml:space="preserve">FUGA FRESCA 110 12 x 160 г </t>
  </si>
  <si>
    <t xml:space="preserve">FUGA FRESCA 111  12 x 160 г </t>
  </si>
  <si>
    <t xml:space="preserve">FUGA FRESCA 112  12 x 160 г </t>
  </si>
  <si>
    <t xml:space="preserve">FUGA FRESCA 113  12 x 160 г </t>
  </si>
  <si>
    <t xml:space="preserve">FUGA FRESCA 114  12 x 160 г </t>
  </si>
  <si>
    <t xml:space="preserve">FUGA FRESCA 120  12 x 160 г </t>
  </si>
  <si>
    <t xml:space="preserve">FUGA FRESCA 130  12 x 160 г </t>
  </si>
  <si>
    <t xml:space="preserve">FUGA FRESCA 131  12 x 160 г </t>
  </si>
  <si>
    <t xml:space="preserve">FUGA FRESCA 132  12 x 160 г </t>
  </si>
  <si>
    <t xml:space="preserve">FUGA FRESCA 140  12 x 160 г </t>
  </si>
  <si>
    <t xml:space="preserve">FUGA FRESCA 141  12 x 160 г </t>
  </si>
  <si>
    <t xml:space="preserve">FUGA FRESCA 142  12 x 160 г </t>
  </si>
  <si>
    <t xml:space="preserve">FUGA FRESCA 143  12 x 160 г </t>
  </si>
  <si>
    <t xml:space="preserve">FUGA FRESCA 144  12 x 160 г </t>
  </si>
  <si>
    <t xml:space="preserve">FUGA FRESCA 145  12 x 160 г </t>
  </si>
  <si>
    <t xml:space="preserve">FUGA FRESCA 150  12 x 160 г </t>
  </si>
  <si>
    <t xml:space="preserve">FUGA FRESCA 160  12 x 160 г </t>
  </si>
  <si>
    <t xml:space="preserve">FUGA FRESCA 161  12 x 160 г </t>
  </si>
  <si>
    <t xml:space="preserve">FUGA FRESCA 162  12 x 160 г </t>
  </si>
  <si>
    <t xml:space="preserve">FUGA FRESCA 170  12 x 160 г </t>
  </si>
  <si>
    <t xml:space="preserve">FUGA FRESCA 171  12 x 160 г </t>
  </si>
  <si>
    <t xml:space="preserve">FUGA FRESCA 172  12 x 160 г </t>
  </si>
  <si>
    <t xml:space="preserve">FUGA FRESCA 180  12 x 160 г </t>
  </si>
  <si>
    <t xml:space="preserve">FUGA FRESCA 181  12 x 160 г </t>
  </si>
  <si>
    <t xml:space="preserve">FUGA FRESCA 182  12 x 160 г </t>
  </si>
  <si>
    <t>5</t>
  </si>
  <si>
    <t>22</t>
  </si>
  <si>
    <t>KERAPOXY №100 канистры    5 кг</t>
  </si>
  <si>
    <t>KERAPOXY P №100 белый канистры   5 кг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</si>
</sst>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00000000000000"/>
    <numFmt numFmtId="166" formatCode="#,##0.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#,##0.0000000000000"/>
    <numFmt numFmtId="177" formatCode="#,##0.00000000000000"/>
    <numFmt numFmtId="178" formatCode="0.0"/>
    <numFmt numFmtId="179" formatCode="0.00000"/>
    <numFmt numFmtId="180" formatCode="0.0000"/>
    <numFmt numFmtId="181" formatCode="0.000"/>
  </numFmts>
  <fonts count="45"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0"/>
      <name val="Comic Sans MS"/>
      <family val="4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color indexed="8"/>
      <name val="Calibri"/>
      <family val="2"/>
    </font>
    <font>
      <b/>
      <i/>
      <sz val="9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Calibri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sz val="8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horizontal="center"/>
    </xf>
    <xf numFmtId="0" fontId="11" fillId="18" borderId="11" xfId="0" applyFont="1" applyFill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1" fillId="18" borderId="11" xfId="0" applyNumberFormat="1" applyFont="1" applyFill="1" applyBorder="1" applyAlignment="1">
      <alignment horizontal="center" vertical="center" wrapText="1"/>
    </xf>
    <xf numFmtId="0" fontId="1" fillId="0" borderId="0" xfId="57" applyFont="1" applyFill="1" applyBorder="1" applyAlignment="1" applyProtection="1">
      <alignment horizontal="right"/>
      <protection locked="0"/>
    </xf>
    <xf numFmtId="14" fontId="1" fillId="0" borderId="0" xfId="57" applyNumberFormat="1" applyFont="1" applyFill="1" applyBorder="1" applyAlignment="1" applyProtection="1">
      <alignment horizontal="left"/>
      <protection locked="0"/>
    </xf>
    <xf numFmtId="49" fontId="8" fillId="0" borderId="16" xfId="54" applyNumberFormat="1" applyBorder="1" applyAlignment="1">
      <alignment horizontal="center"/>
      <protection/>
    </xf>
    <xf numFmtId="0" fontId="1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7" xfId="57" applyFont="1" applyFill="1" applyBorder="1" applyAlignment="1" applyProtection="1">
      <alignment vertical="center"/>
      <protection locked="0"/>
    </xf>
    <xf numFmtId="0" fontId="1" fillId="0" borderId="18" xfId="57" applyFont="1" applyFill="1" applyBorder="1" applyAlignment="1" applyProtection="1">
      <alignment vertical="center"/>
      <protection locked="0"/>
    </xf>
    <xf numFmtId="0" fontId="1" fillId="0" borderId="10" xfId="57" applyFont="1" applyFill="1" applyBorder="1" applyAlignment="1" applyProtection="1">
      <alignment vertical="center"/>
      <protection locked="0"/>
    </xf>
    <xf numFmtId="0" fontId="1" fillId="0" borderId="0" xfId="57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" fillId="0" borderId="19" xfId="57" applyFont="1" applyFill="1" applyBorder="1" applyAlignment="1" applyProtection="1">
      <alignment vertical="center"/>
      <protection locked="0"/>
    </xf>
    <xf numFmtId="0" fontId="6" fillId="0" borderId="10" xfId="57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 vertical="center"/>
    </xf>
    <xf numFmtId="0" fontId="1" fillId="0" borderId="20" xfId="57" applyFont="1" applyFill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4" fontId="5" fillId="0" borderId="21" xfId="0" applyNumberFormat="1" applyFont="1" applyBorder="1" applyAlignment="1" applyProtection="1">
      <alignment horizontal="center"/>
      <protection hidden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wrapText="1"/>
    </xf>
    <xf numFmtId="0" fontId="1" fillId="0" borderId="24" xfId="57" applyFont="1" applyFill="1" applyBorder="1" applyAlignment="1" applyProtection="1">
      <alignment horizontal="center" wrapText="1"/>
      <protection locked="0"/>
    </xf>
    <xf numFmtId="4" fontId="2" fillId="0" borderId="21" xfId="0" applyNumberFormat="1" applyFont="1" applyBorder="1" applyAlignment="1">
      <alignment horizontal="center" vertical="center"/>
    </xf>
    <xf numFmtId="0" fontId="1" fillId="0" borderId="26" xfId="57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horizontal="center" vertical="center" wrapText="1"/>
    </xf>
    <xf numFmtId="0" fontId="11" fillId="18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0" xfId="0" applyNumberFormat="1" applyFont="1" applyFill="1" applyBorder="1" applyAlignment="1">
      <alignment vertical="center" wrapText="1"/>
    </xf>
    <xf numFmtId="0" fontId="1" fillId="0" borderId="31" xfId="57" applyFont="1" applyFill="1" applyBorder="1" applyAlignment="1" applyProtection="1">
      <alignment vertical="center"/>
      <protection locked="0"/>
    </xf>
    <xf numFmtId="0" fontId="1" fillId="0" borderId="31" xfId="0" applyNumberFormat="1" applyFont="1" applyFill="1" applyBorder="1" applyAlignment="1">
      <alignment vertical="center" wrapText="1"/>
    </xf>
    <xf numFmtId="0" fontId="1" fillId="0" borderId="31" xfId="57" applyFont="1" applyFill="1" applyBorder="1" applyAlignment="1" applyProtection="1">
      <alignment horizontal="left" vertical="center" wrapText="1"/>
      <protection locked="0"/>
    </xf>
    <xf numFmtId="0" fontId="1" fillId="0" borderId="31" xfId="57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>
      <alignment vertical="center" wrapText="1"/>
    </xf>
    <xf numFmtId="0" fontId="1" fillId="0" borderId="33" xfId="57" applyFont="1" applyFill="1" applyBorder="1" applyAlignment="1" applyProtection="1">
      <alignment vertical="center" wrapText="1"/>
      <protection locked="0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36" xfId="57" applyFont="1" applyFill="1" applyBorder="1" applyAlignment="1" applyProtection="1">
      <alignment vertical="center" wrapText="1"/>
      <protection locked="0"/>
    </xf>
    <xf numFmtId="4" fontId="1" fillId="0" borderId="37" xfId="0" applyNumberFormat="1" applyFont="1" applyFill="1" applyBorder="1" applyAlignment="1">
      <alignment horizontal="center" vertical="center" wrapText="1"/>
    </xf>
    <xf numFmtId="0" fontId="1" fillId="0" borderId="38" xfId="57" applyFont="1" applyFill="1" applyBorder="1" applyAlignment="1" applyProtection="1">
      <alignment vertical="center" wrapText="1"/>
      <protection locked="0"/>
    </xf>
    <xf numFmtId="2" fontId="1" fillId="0" borderId="21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1" fillId="0" borderId="21" xfId="57" applyFont="1" applyFill="1" applyBorder="1">
      <alignment/>
      <protection/>
    </xf>
    <xf numFmtId="0" fontId="1" fillId="0" borderId="21" xfId="57" applyFont="1" applyFill="1" applyBorder="1" applyAlignment="1">
      <alignment horizontal="center" vertical="center"/>
      <protection/>
    </xf>
    <xf numFmtId="0" fontId="33" fillId="0" borderId="21" xfId="0" applyFont="1" applyFill="1" applyBorder="1" applyAlignment="1">
      <alignment horizontal="center" vertical="center" wrapText="1"/>
    </xf>
    <xf numFmtId="0" fontId="32" fillId="18" borderId="21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1" fillId="0" borderId="21" xfId="57" applyFont="1" applyFill="1" applyBorder="1" applyProtection="1">
      <alignment/>
      <protection locked="0"/>
    </xf>
    <xf numFmtId="4" fontId="1" fillId="0" borderId="21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" fillId="0" borderId="21" xfId="57" applyFont="1" applyFill="1" applyBorder="1" applyAlignment="1">
      <alignment horizontal="center"/>
      <protection/>
    </xf>
    <xf numFmtId="0" fontId="2" fillId="0" borderId="21" xfId="0" applyFont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2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/>
    </xf>
    <xf numFmtId="4" fontId="37" fillId="0" borderId="21" xfId="0" applyNumberFormat="1" applyFont="1" applyFill="1" applyBorder="1" applyAlignment="1">
      <alignment horizontal="center" vertical="center"/>
    </xf>
    <xf numFmtId="2" fontId="37" fillId="0" borderId="21" xfId="0" applyNumberFormat="1" applyFont="1" applyFill="1" applyBorder="1" applyAlignment="1">
      <alignment horizontal="center" vertical="center"/>
    </xf>
    <xf numFmtId="4" fontId="37" fillId="0" borderId="21" xfId="57" applyNumberFormat="1" applyFont="1" applyFill="1" applyBorder="1" applyAlignment="1">
      <alignment horizontal="center" vertical="center"/>
      <protection/>
    </xf>
    <xf numFmtId="2" fontId="38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1" fillId="0" borderId="21" xfId="57" applyFont="1" applyFill="1" applyBorder="1" applyAlignment="1" applyProtection="1">
      <alignment horizontal="left" vertical="center" wrapText="1"/>
      <protection locked="0"/>
    </xf>
    <xf numFmtId="4" fontId="23" fillId="0" borderId="44" xfId="0" applyNumberFormat="1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6" fillId="0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41" fillId="0" borderId="2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1" xfId="0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/>
    </xf>
    <xf numFmtId="178" fontId="0" fillId="0" borderId="21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left" vertical="center" wrapText="1"/>
    </xf>
    <xf numFmtId="0" fontId="1" fillId="0" borderId="45" xfId="0" applyNumberFormat="1" applyFont="1" applyFill="1" applyBorder="1" applyAlignment="1">
      <alignment horizontal="left" vertical="center" wrapText="1"/>
    </xf>
    <xf numFmtId="0" fontId="1" fillId="0" borderId="21" xfId="57" applyFont="1" applyFill="1" applyBorder="1" applyAlignment="1">
      <alignment horizontal="left" vertical="center" wrapText="1"/>
      <protection/>
    </xf>
    <xf numFmtId="0" fontId="13" fillId="0" borderId="44" xfId="0" applyNumberFormat="1" applyFont="1" applyFill="1" applyBorder="1" applyAlignment="1">
      <alignment horizontal="left" vertical="center" wrapText="1"/>
    </xf>
    <xf numFmtId="0" fontId="13" fillId="0" borderId="47" xfId="0" applyNumberFormat="1" applyFont="1" applyFill="1" applyBorder="1" applyAlignment="1">
      <alignment horizontal="left" vertical="center" wrapText="1"/>
    </xf>
    <xf numFmtId="0" fontId="1" fillId="0" borderId="47" xfId="0" applyNumberFormat="1" applyFont="1" applyFill="1" applyBorder="1" applyAlignment="1">
      <alignment horizontal="left" vertical="center" wrapText="1"/>
    </xf>
    <xf numFmtId="4" fontId="2" fillId="0" borderId="44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1" fillId="7" borderId="10" xfId="57" applyFont="1" applyFill="1" applyBorder="1" applyAlignment="1" applyProtection="1">
      <alignment vertical="center"/>
      <protection locked="0"/>
    </xf>
    <xf numFmtId="0" fontId="1" fillId="7" borderId="31" xfId="57" applyFont="1" applyFill="1" applyBorder="1" applyAlignment="1" applyProtection="1">
      <alignment vertical="center" wrapText="1"/>
      <protection locked="0"/>
    </xf>
    <xf numFmtId="4" fontId="1" fillId="7" borderId="24" xfId="0" applyNumberFormat="1" applyFont="1" applyFill="1" applyBorder="1" applyAlignment="1">
      <alignment horizontal="center" wrapText="1"/>
    </xf>
    <xf numFmtId="4" fontId="1" fillId="7" borderId="41" xfId="0" applyNumberFormat="1" applyFont="1" applyFill="1" applyBorder="1" applyAlignment="1">
      <alignment horizontal="center" vertical="center"/>
    </xf>
    <xf numFmtId="4" fontId="2" fillId="7" borderId="21" xfId="0" applyNumberFormat="1" applyFont="1" applyFill="1" applyBorder="1" applyAlignment="1">
      <alignment horizontal="center" vertical="center"/>
    </xf>
    <xf numFmtId="4" fontId="2" fillId="7" borderId="24" xfId="0" applyNumberFormat="1" applyFont="1" applyFill="1" applyBorder="1" applyAlignment="1">
      <alignment horizontal="center" vertical="center"/>
    </xf>
    <xf numFmtId="4" fontId="23" fillId="7" borderId="21" xfId="0" applyNumberFormat="1" applyFont="1" applyFill="1" applyBorder="1" applyAlignment="1">
      <alignment horizontal="center"/>
    </xf>
    <xf numFmtId="0" fontId="34" fillId="0" borderId="0" xfId="43" applyFont="1" applyAlignment="1">
      <alignment/>
    </xf>
    <xf numFmtId="0" fontId="42" fillId="0" borderId="0" xfId="57" applyFont="1" applyFill="1" applyBorder="1" applyAlignment="1" applyProtection="1">
      <alignment/>
      <protection locked="0"/>
    </xf>
    <xf numFmtId="0" fontId="42" fillId="0" borderId="0" xfId="57" applyFont="1" applyFill="1" applyBorder="1" applyAlignment="1" applyProtection="1">
      <alignment horizontal="left"/>
      <protection locked="0"/>
    </xf>
    <xf numFmtId="2" fontId="43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18" borderId="48" xfId="0" applyFont="1" applyFill="1" applyBorder="1" applyAlignment="1">
      <alignment horizontal="center" vertical="center" wrapText="1"/>
    </xf>
    <xf numFmtId="0" fontId="32" fillId="18" borderId="49" xfId="0" applyFont="1" applyFill="1" applyBorder="1" applyAlignment="1">
      <alignment horizontal="center" vertical="center" wrapText="1"/>
    </xf>
    <xf numFmtId="0" fontId="32" fillId="18" borderId="50" xfId="0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left" vertical="center" wrapText="1"/>
    </xf>
    <xf numFmtId="0" fontId="13" fillId="0" borderId="52" xfId="0" applyNumberFormat="1" applyFont="1" applyFill="1" applyBorder="1" applyAlignment="1">
      <alignment horizontal="left" vertical="center" wrapText="1"/>
    </xf>
    <xf numFmtId="0" fontId="13" fillId="0" borderId="53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31" xfId="0" applyNumberFormat="1" applyFont="1" applyFill="1" applyBorder="1" applyAlignment="1">
      <alignment horizontal="left" vertical="center" wrapText="1"/>
    </xf>
    <xf numFmtId="0" fontId="13" fillId="0" borderId="39" xfId="0" applyNumberFormat="1" applyFont="1" applyFill="1" applyBorder="1" applyAlignment="1">
      <alignment horizontal="left" vertical="center" wrapText="1"/>
    </xf>
    <xf numFmtId="0" fontId="1" fillId="0" borderId="21" xfId="57" applyFont="1" applyFill="1" applyBorder="1" applyAlignment="1" applyProtection="1">
      <alignment horizontal="left" vertical="center" wrapText="1"/>
      <protection locked="0"/>
    </xf>
    <xf numFmtId="0" fontId="32" fillId="18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1" fillId="0" borderId="44" xfId="57" applyFont="1" applyFill="1" applyBorder="1" applyAlignment="1" applyProtection="1">
      <alignment horizontal="left" vertical="center" wrapText="1"/>
      <protection locked="0"/>
    </xf>
    <xf numFmtId="0" fontId="1" fillId="0" borderId="45" xfId="57" applyFont="1" applyFill="1" applyBorder="1" applyAlignment="1" applyProtection="1">
      <alignment horizontal="left" vertical="center" wrapText="1"/>
      <protection locked="0"/>
    </xf>
    <xf numFmtId="0" fontId="1" fillId="0" borderId="54" xfId="57" applyFont="1" applyFill="1" applyBorder="1" applyAlignment="1" applyProtection="1">
      <alignment horizontal="left" vertical="center" wrapText="1"/>
      <protection locked="0"/>
    </xf>
    <xf numFmtId="0" fontId="1" fillId="0" borderId="47" xfId="57" applyFont="1" applyFill="1" applyBorder="1" applyAlignment="1" applyProtection="1">
      <alignment horizontal="left" vertical="center" wrapText="1"/>
      <protection locked="0"/>
    </xf>
    <xf numFmtId="0" fontId="1" fillId="0" borderId="55" xfId="57" applyFont="1" applyFill="1" applyBorder="1" applyAlignment="1" applyProtection="1">
      <alignment horizontal="left" vertical="center" wrapText="1"/>
      <protection locked="0"/>
    </xf>
    <xf numFmtId="0" fontId="1" fillId="0" borderId="54" xfId="57" applyFont="1" applyFill="1" applyBorder="1" applyAlignment="1" applyProtection="1">
      <alignment vertical="center" wrapText="1"/>
      <protection locked="0"/>
    </xf>
    <xf numFmtId="0" fontId="1" fillId="0" borderId="55" xfId="57" applyFont="1" applyFill="1" applyBorder="1" applyAlignment="1" applyProtection="1">
      <alignment vertical="center" wrapText="1"/>
      <protection locked="0"/>
    </xf>
    <xf numFmtId="4" fontId="1" fillId="0" borderId="56" xfId="0" applyNumberFormat="1" applyFont="1" applyFill="1" applyBorder="1" applyAlignment="1">
      <alignment horizontal="center" vertical="center"/>
    </xf>
    <xf numFmtId="4" fontId="1" fillId="0" borderId="57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54" xfId="57" applyFont="1" applyFill="1" applyBorder="1" applyAlignment="1" applyProtection="1">
      <alignment horizontal="left" vertical="center"/>
      <protection locked="0"/>
    </xf>
    <xf numFmtId="0" fontId="1" fillId="0" borderId="45" xfId="57" applyFont="1" applyFill="1" applyBorder="1" applyAlignment="1" applyProtection="1">
      <alignment horizontal="left" vertical="center"/>
      <protection locked="0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2" fillId="18" borderId="62" xfId="0" applyFont="1" applyFill="1" applyBorder="1" applyAlignment="1">
      <alignment horizontal="center" vertical="center" wrapText="1"/>
    </xf>
    <xf numFmtId="0" fontId="32" fillId="18" borderId="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4" fontId="23" fillId="0" borderId="44" xfId="0" applyNumberFormat="1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47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1943100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1943100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ademia33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kademia33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kademia33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">
      <pane ySplit="9" topLeftCell="BM10" activePane="bottomLeft" state="frozen"/>
      <selection pane="topLeft" activeCell="A30" sqref="A30"/>
      <selection pane="bottomLeft" activeCell="D3" sqref="D3"/>
    </sheetView>
  </sheetViews>
  <sheetFormatPr defaultColWidth="40.140625" defaultRowHeight="12.75" customHeight="1"/>
  <cols>
    <col min="1" max="2" width="40.140625" style="0" customWidth="1"/>
    <col min="3" max="3" width="9.140625" style="0" customWidth="1"/>
    <col min="4" max="6" width="11.7109375" style="0" customWidth="1"/>
    <col min="7" max="7" width="11.7109375" style="12" customWidth="1"/>
    <col min="8" max="248" width="9.140625" style="0" customWidth="1"/>
  </cols>
  <sheetData>
    <row r="1" spans="3:6" ht="12.75" customHeight="1">
      <c r="C1" s="14"/>
      <c r="D1" s="15"/>
      <c r="E1" s="14"/>
      <c r="F1" s="14"/>
    </row>
    <row r="2" spans="2:7" ht="17.25" customHeight="1">
      <c r="B2" s="78" t="s">
        <v>846</v>
      </c>
      <c r="C2" s="25"/>
      <c r="D2" s="25"/>
      <c r="E2" s="25"/>
      <c r="F2" s="25"/>
      <c r="G2" s="25"/>
    </row>
    <row r="3" spans="2:7" ht="16.5" customHeight="1">
      <c r="B3" t="s">
        <v>12</v>
      </c>
      <c r="C3" s="17"/>
      <c r="D3" s="46" t="s">
        <v>7</v>
      </c>
      <c r="E3" s="17"/>
      <c r="F3" s="17"/>
      <c r="G3" s="17"/>
    </row>
    <row r="4" spans="2:7" ht="16.5" customHeight="1">
      <c r="B4" s="130" t="s">
        <v>14</v>
      </c>
      <c r="C4" s="17"/>
      <c r="D4" s="17"/>
      <c r="E4" s="17"/>
      <c r="F4" s="17"/>
      <c r="G4" s="17"/>
    </row>
    <row r="5" spans="1:7" ht="12.75" customHeight="1">
      <c r="A5" s="135"/>
      <c r="B5" s="135"/>
      <c r="C5" s="135"/>
      <c r="D5" s="135"/>
      <c r="E5" s="135"/>
      <c r="F5" s="135"/>
      <c r="G5" s="135"/>
    </row>
    <row r="6" spans="1:7" ht="17.25" customHeight="1" thickBot="1">
      <c r="A6" s="136" t="s">
        <v>863</v>
      </c>
      <c r="B6" s="136"/>
      <c r="C6" s="136"/>
      <c r="D6" s="136"/>
      <c r="E6" s="136"/>
      <c r="F6" s="136"/>
      <c r="G6" s="136"/>
    </row>
    <row r="7" spans="1:7" ht="18.75" hidden="1" thickBot="1">
      <c r="A7" s="137" t="s">
        <v>719</v>
      </c>
      <c r="B7" s="138"/>
      <c r="C7" s="139"/>
      <c r="D7" s="139"/>
      <c r="E7" s="139"/>
      <c r="F7" s="139"/>
      <c r="G7" s="139"/>
    </row>
    <row r="8" spans="1:7" ht="18.75" hidden="1" thickBot="1">
      <c r="A8" s="5"/>
      <c r="B8" s="44"/>
      <c r="C8" s="4"/>
      <c r="D8" s="4"/>
      <c r="E8" s="4"/>
      <c r="F8" s="4"/>
      <c r="G8" s="13"/>
    </row>
    <row r="9" spans="1:7" ht="35.25" thickBot="1">
      <c r="A9" s="6" t="s">
        <v>856</v>
      </c>
      <c r="B9" s="6"/>
      <c r="C9" s="6" t="s">
        <v>27</v>
      </c>
      <c r="D9" s="69" t="s">
        <v>847</v>
      </c>
      <c r="E9" s="69" t="s">
        <v>848</v>
      </c>
      <c r="F9" s="70" t="s">
        <v>849</v>
      </c>
      <c r="G9" s="69" t="s">
        <v>850</v>
      </c>
    </row>
    <row r="10" spans="1:7" ht="15.75">
      <c r="A10" s="140" t="s">
        <v>260</v>
      </c>
      <c r="B10" s="141"/>
      <c r="C10" s="142"/>
      <c r="D10" s="142"/>
      <c r="E10" s="142"/>
      <c r="F10" s="142"/>
      <c r="G10" s="142"/>
    </row>
    <row r="11" spans="1:7" ht="45">
      <c r="A11" s="57" t="s">
        <v>261</v>
      </c>
      <c r="B11" s="57" t="s">
        <v>738</v>
      </c>
      <c r="C11" s="79">
        <v>25</v>
      </c>
      <c r="D11" s="81">
        <v>652.85</v>
      </c>
      <c r="E11" s="80">
        <v>718.135</v>
      </c>
      <c r="F11" s="61">
        <v>783.42</v>
      </c>
      <c r="G11" s="91">
        <v>877.24</v>
      </c>
    </row>
    <row r="12" spans="1:7" ht="36" customHeight="1">
      <c r="A12" s="57" t="s">
        <v>246</v>
      </c>
      <c r="B12" s="143" t="s">
        <v>739</v>
      </c>
      <c r="C12" s="79">
        <v>25</v>
      </c>
      <c r="D12" s="82">
        <v>451.25</v>
      </c>
      <c r="E12" s="80">
        <v>496.375</v>
      </c>
      <c r="F12" s="61">
        <v>541.5</v>
      </c>
      <c r="G12" s="91">
        <v>552.5</v>
      </c>
    </row>
    <row r="13" spans="1:7" ht="36" customHeight="1">
      <c r="A13" s="57" t="s">
        <v>262</v>
      </c>
      <c r="B13" s="143"/>
      <c r="C13" s="79">
        <v>25</v>
      </c>
      <c r="D13" s="82">
        <v>665.85</v>
      </c>
      <c r="E13" s="80">
        <v>732.435</v>
      </c>
      <c r="F13" s="61">
        <v>799.02</v>
      </c>
      <c r="G13" s="91">
        <v>895.44</v>
      </c>
    </row>
    <row r="14" spans="1:7" ht="56.25">
      <c r="A14" s="57" t="s">
        <v>247</v>
      </c>
      <c r="B14" s="57" t="s">
        <v>740</v>
      </c>
      <c r="C14" s="79">
        <v>25</v>
      </c>
      <c r="D14" s="82">
        <v>628.15</v>
      </c>
      <c r="E14" s="80">
        <v>690.965</v>
      </c>
      <c r="F14" s="61">
        <v>753.78</v>
      </c>
      <c r="G14" s="91">
        <v>842.66</v>
      </c>
    </row>
    <row r="15" spans="1:7" ht="28.5" customHeight="1">
      <c r="A15" s="57" t="s">
        <v>248</v>
      </c>
      <c r="B15" s="143" t="s">
        <v>780</v>
      </c>
      <c r="C15" s="79">
        <v>25</v>
      </c>
      <c r="D15" s="82">
        <v>628.15</v>
      </c>
      <c r="E15" s="80">
        <v>690.965</v>
      </c>
      <c r="F15" s="61">
        <v>753.78</v>
      </c>
      <c r="G15" s="91">
        <v>842.66</v>
      </c>
    </row>
    <row r="16" spans="1:7" ht="28.5" customHeight="1">
      <c r="A16" s="57" t="s">
        <v>249</v>
      </c>
      <c r="B16" s="143"/>
      <c r="C16" s="79">
        <v>22.5</v>
      </c>
      <c r="D16" s="82">
        <v>890.75</v>
      </c>
      <c r="E16" s="80">
        <v>979.825</v>
      </c>
      <c r="F16" s="61">
        <v>1068.9</v>
      </c>
      <c r="G16" s="91">
        <v>1210.3</v>
      </c>
    </row>
    <row r="17" spans="1:7" ht="12.75" customHeight="1">
      <c r="A17" s="57" t="s">
        <v>250</v>
      </c>
      <c r="B17" s="143" t="s">
        <v>741</v>
      </c>
      <c r="C17" s="79">
        <v>25</v>
      </c>
      <c r="D17" s="82">
        <v>288.75</v>
      </c>
      <c r="E17" s="80">
        <v>317.625</v>
      </c>
      <c r="F17" s="61">
        <v>336.5</v>
      </c>
      <c r="G17" s="91">
        <v>341.25</v>
      </c>
    </row>
    <row r="18" spans="1:7" ht="12.75" customHeight="1">
      <c r="A18" s="57" t="s">
        <v>251</v>
      </c>
      <c r="B18" s="143"/>
      <c r="C18" s="79">
        <v>25</v>
      </c>
      <c r="D18" s="82">
        <v>420.8</v>
      </c>
      <c r="E18" s="80">
        <v>462.88</v>
      </c>
      <c r="F18" s="61">
        <v>504.96</v>
      </c>
      <c r="G18" s="91">
        <v>552.37</v>
      </c>
    </row>
    <row r="19" spans="1:7" ht="45">
      <c r="A19" s="57" t="s">
        <v>252</v>
      </c>
      <c r="B19" s="57" t="s">
        <v>742</v>
      </c>
      <c r="C19" s="79">
        <v>25</v>
      </c>
      <c r="D19" s="82">
        <v>325.25</v>
      </c>
      <c r="E19" s="80">
        <v>357.775</v>
      </c>
      <c r="F19" s="61">
        <v>390.3</v>
      </c>
      <c r="G19" s="91">
        <v>418.6</v>
      </c>
    </row>
    <row r="20" spans="1:7" ht="45">
      <c r="A20" s="57" t="s">
        <v>253</v>
      </c>
      <c r="B20" s="57" t="s">
        <v>743</v>
      </c>
      <c r="C20" s="79">
        <v>25</v>
      </c>
      <c r="D20" s="82">
        <v>658.05</v>
      </c>
      <c r="E20" s="80">
        <v>723.855</v>
      </c>
      <c r="F20" s="61">
        <v>789.66</v>
      </c>
      <c r="G20" s="91">
        <v>884.52</v>
      </c>
    </row>
    <row r="21" spans="1:7" ht="47.25" customHeight="1">
      <c r="A21" s="57" t="s">
        <v>254</v>
      </c>
      <c r="B21" s="143" t="s">
        <v>744</v>
      </c>
      <c r="C21" s="79">
        <v>25</v>
      </c>
      <c r="D21" s="82">
        <v>825.75</v>
      </c>
      <c r="E21" s="80">
        <v>908.325</v>
      </c>
      <c r="F21" s="61">
        <v>990.9</v>
      </c>
      <c r="G21" s="91">
        <v>1119.3</v>
      </c>
    </row>
    <row r="22" spans="1:7" ht="47.25" customHeight="1">
      <c r="A22" s="57" t="s">
        <v>263</v>
      </c>
      <c r="B22" s="143"/>
      <c r="C22" s="79">
        <v>25</v>
      </c>
      <c r="D22" s="82">
        <v>890.75</v>
      </c>
      <c r="E22" s="80">
        <v>979.825</v>
      </c>
      <c r="F22" s="61">
        <v>1068.9</v>
      </c>
      <c r="G22" s="91">
        <v>1210.3</v>
      </c>
    </row>
    <row r="23" spans="1:7" ht="45">
      <c r="A23" s="57" t="s">
        <v>264</v>
      </c>
      <c r="B23" s="57" t="s">
        <v>743</v>
      </c>
      <c r="C23" s="79">
        <v>25</v>
      </c>
      <c r="D23" s="82">
        <v>689.25</v>
      </c>
      <c r="E23" s="80">
        <v>758.175</v>
      </c>
      <c r="F23" s="61">
        <v>827.1</v>
      </c>
      <c r="G23" s="91">
        <v>928.2</v>
      </c>
    </row>
    <row r="24" spans="1:7" ht="12.75" customHeight="1">
      <c r="A24" s="57" t="s">
        <v>304</v>
      </c>
      <c r="B24" s="57" t="s">
        <v>745</v>
      </c>
      <c r="C24" s="79">
        <v>25</v>
      </c>
      <c r="D24" s="82">
        <v>224.38</v>
      </c>
      <c r="E24" s="80">
        <v>246.818</v>
      </c>
      <c r="F24" s="62">
        <v>269.256</v>
      </c>
      <c r="G24" s="92">
        <v>257.56</v>
      </c>
    </row>
    <row r="25" spans="1:7" ht="15.75">
      <c r="A25" s="117" t="s">
        <v>265</v>
      </c>
      <c r="B25" s="117"/>
      <c r="C25" s="117"/>
      <c r="D25" s="118"/>
      <c r="E25" s="117"/>
      <c r="F25" s="117"/>
      <c r="G25" s="117"/>
    </row>
    <row r="26" spans="1:7" ht="15">
      <c r="A26" s="63" t="s">
        <v>266</v>
      </c>
      <c r="B26" s="116" t="s">
        <v>746</v>
      </c>
      <c r="C26" s="64">
        <v>2</v>
      </c>
      <c r="D26" s="81">
        <v>130.81</v>
      </c>
      <c r="E26" s="61">
        <v>143.89100000000002</v>
      </c>
      <c r="F26" s="61">
        <v>156.972</v>
      </c>
      <c r="G26" s="91">
        <v>192.97</v>
      </c>
    </row>
    <row r="27" spans="1:7" ht="12.75" customHeight="1">
      <c r="A27" s="63" t="s">
        <v>267</v>
      </c>
      <c r="B27" s="116"/>
      <c r="C27" s="64">
        <v>5</v>
      </c>
      <c r="D27" s="81">
        <f>309.61+5*1.08</f>
        <v>315.01</v>
      </c>
      <c r="E27" s="61">
        <f>D27*1.1</f>
        <v>346.511</v>
      </c>
      <c r="F27" s="61">
        <f>D27*1.2</f>
        <v>378.012</v>
      </c>
      <c r="G27" s="91">
        <v>464.41</v>
      </c>
    </row>
    <row r="28" spans="1:7" ht="12.75" customHeight="1">
      <c r="A28" s="63" t="s">
        <v>268</v>
      </c>
      <c r="B28" s="116"/>
      <c r="C28" s="64">
        <v>2</v>
      </c>
      <c r="D28" s="83">
        <v>135.345</v>
      </c>
      <c r="E28" s="61">
        <v>148.8795</v>
      </c>
      <c r="F28" s="61">
        <v>162.414</v>
      </c>
      <c r="G28" s="93">
        <v>199.8675</v>
      </c>
    </row>
    <row r="29" spans="1:7" ht="12.75" customHeight="1">
      <c r="A29" s="63" t="s">
        <v>269</v>
      </c>
      <c r="B29" s="116"/>
      <c r="C29" s="64">
        <v>5</v>
      </c>
      <c r="D29" s="83">
        <v>327.0225</v>
      </c>
      <c r="E29" s="61">
        <v>359.72475000000003</v>
      </c>
      <c r="F29" s="61">
        <v>392.42699999999996</v>
      </c>
      <c r="G29" s="93">
        <v>482.65874999999994</v>
      </c>
    </row>
    <row r="30" spans="1:7" ht="12.75" customHeight="1">
      <c r="A30" s="63" t="s">
        <v>270</v>
      </c>
      <c r="B30" s="116"/>
      <c r="C30" s="64">
        <v>2</v>
      </c>
      <c r="D30" s="83">
        <v>135.345</v>
      </c>
      <c r="E30" s="61">
        <v>148.8795</v>
      </c>
      <c r="F30" s="61">
        <v>162.414</v>
      </c>
      <c r="G30" s="93">
        <v>199.8675</v>
      </c>
    </row>
    <row r="31" spans="1:7" ht="12.75" customHeight="1">
      <c r="A31" s="63" t="s">
        <v>271</v>
      </c>
      <c r="B31" s="116"/>
      <c r="C31" s="64">
        <v>5</v>
      </c>
      <c r="D31" s="84">
        <v>327.0225</v>
      </c>
      <c r="E31" s="61">
        <v>359.72475000000003</v>
      </c>
      <c r="F31" s="61">
        <v>392.42699999999996</v>
      </c>
      <c r="G31" s="93">
        <v>482.65874999999994</v>
      </c>
    </row>
    <row r="32" spans="1:7" ht="12.75" customHeight="1">
      <c r="A32" s="63" t="s">
        <v>272</v>
      </c>
      <c r="B32" s="116"/>
      <c r="C32" s="64">
        <v>2</v>
      </c>
      <c r="D32" s="83">
        <v>139.5975</v>
      </c>
      <c r="E32" s="61">
        <v>153.55725</v>
      </c>
      <c r="F32" s="61">
        <v>167.517</v>
      </c>
      <c r="G32" s="93">
        <v>206.24625</v>
      </c>
    </row>
    <row r="33" spans="1:7" ht="12.75" customHeight="1">
      <c r="A33" s="63" t="s">
        <v>273</v>
      </c>
      <c r="B33" s="116"/>
      <c r="C33" s="64">
        <v>5</v>
      </c>
      <c r="D33" s="83">
        <v>327.0225</v>
      </c>
      <c r="E33" s="61">
        <v>359.72475000000003</v>
      </c>
      <c r="F33" s="61">
        <v>392.42699999999996</v>
      </c>
      <c r="G33" s="93">
        <v>482.65874999999994</v>
      </c>
    </row>
    <row r="34" spans="1:7" ht="12.75" customHeight="1">
      <c r="A34" s="63" t="s">
        <v>274</v>
      </c>
      <c r="B34" s="116"/>
      <c r="C34" s="64">
        <v>2</v>
      </c>
      <c r="D34" s="83">
        <v>107.85</v>
      </c>
      <c r="E34" s="61">
        <v>118.635</v>
      </c>
      <c r="F34" s="61">
        <v>129.42</v>
      </c>
      <c r="G34" s="93">
        <v>158.54</v>
      </c>
    </row>
    <row r="35" spans="1:7" ht="12.75" customHeight="1">
      <c r="A35" s="63" t="s">
        <v>275</v>
      </c>
      <c r="B35" s="116"/>
      <c r="C35" s="64">
        <v>5</v>
      </c>
      <c r="D35" s="83">
        <v>256.95</v>
      </c>
      <c r="E35" s="61">
        <v>282.645</v>
      </c>
      <c r="F35" s="61">
        <v>308.34</v>
      </c>
      <c r="G35" s="93">
        <v>377.32</v>
      </c>
    </row>
    <row r="36" spans="1:7" ht="12.75" customHeight="1">
      <c r="A36" s="63" t="s">
        <v>276</v>
      </c>
      <c r="B36" s="116"/>
      <c r="C36" s="64">
        <v>2</v>
      </c>
      <c r="D36" s="83">
        <v>135.345</v>
      </c>
      <c r="E36" s="61">
        <v>148.8795</v>
      </c>
      <c r="F36" s="61">
        <v>162.414</v>
      </c>
      <c r="G36" s="93">
        <v>199.8675</v>
      </c>
    </row>
    <row r="37" spans="1:7" ht="12.75" customHeight="1">
      <c r="A37" s="63" t="s">
        <v>277</v>
      </c>
      <c r="B37" s="116"/>
      <c r="C37" s="64">
        <v>5</v>
      </c>
      <c r="D37" s="83">
        <v>327.0225</v>
      </c>
      <c r="E37" s="61">
        <v>359.72475000000003</v>
      </c>
      <c r="F37" s="61">
        <v>392.42699999999996</v>
      </c>
      <c r="G37" s="93">
        <v>482.65874999999994</v>
      </c>
    </row>
    <row r="38" spans="1:7" ht="12.75" customHeight="1">
      <c r="A38" s="63" t="s">
        <v>278</v>
      </c>
      <c r="B38" s="116"/>
      <c r="C38" s="64">
        <v>2</v>
      </c>
      <c r="D38" s="83">
        <f>144.11+2*1.08</f>
        <v>146.27</v>
      </c>
      <c r="E38" s="61">
        <f>D38*1.1</f>
        <v>160.89700000000002</v>
      </c>
      <c r="F38" s="61">
        <f>D38*1.2</f>
        <v>175.524</v>
      </c>
      <c r="G38" s="93">
        <v>216.17</v>
      </c>
    </row>
    <row r="39" spans="1:7" ht="12.75" customHeight="1">
      <c r="A39" s="63" t="s">
        <v>279</v>
      </c>
      <c r="B39" s="116"/>
      <c r="C39" s="64">
        <v>5</v>
      </c>
      <c r="D39" s="83">
        <f>348+5*1.08</f>
        <v>353.4</v>
      </c>
      <c r="E39" s="61">
        <f>D39*1.1</f>
        <v>388.74</v>
      </c>
      <c r="F39" s="61">
        <f>D39*1.2</f>
        <v>424.08</v>
      </c>
      <c r="G39" s="93">
        <v>522</v>
      </c>
    </row>
    <row r="40" spans="1:7" ht="12.75" customHeight="1">
      <c r="A40" s="63" t="s">
        <v>280</v>
      </c>
      <c r="B40" s="116"/>
      <c r="C40" s="64">
        <v>2</v>
      </c>
      <c r="D40" s="83">
        <v>135.345</v>
      </c>
      <c r="E40" s="61">
        <v>148.8795</v>
      </c>
      <c r="F40" s="61">
        <v>162.414</v>
      </c>
      <c r="G40" s="93">
        <v>199.8675</v>
      </c>
    </row>
    <row r="41" spans="1:7" ht="12.75" customHeight="1">
      <c r="A41" s="63" t="s">
        <v>281</v>
      </c>
      <c r="B41" s="116"/>
      <c r="C41" s="64">
        <v>5</v>
      </c>
      <c r="D41" s="83">
        <v>327.0225</v>
      </c>
      <c r="E41" s="61">
        <v>359.72475000000003</v>
      </c>
      <c r="F41" s="61">
        <v>392.42699999999996</v>
      </c>
      <c r="G41" s="93">
        <v>482.65874999999994</v>
      </c>
    </row>
    <row r="42" spans="1:7" ht="12.75" customHeight="1">
      <c r="A42" s="63" t="s">
        <v>282</v>
      </c>
      <c r="B42" s="116"/>
      <c r="C42" s="64">
        <v>2</v>
      </c>
      <c r="D42" s="83">
        <v>138.08</v>
      </c>
      <c r="E42" s="61">
        <v>151.888</v>
      </c>
      <c r="F42" s="61">
        <v>165.69599999999997</v>
      </c>
      <c r="G42" s="93">
        <v>203.88</v>
      </c>
    </row>
    <row r="43" spans="1:7" ht="12.75" customHeight="1">
      <c r="A43" s="63" t="s">
        <v>283</v>
      </c>
      <c r="B43" s="116"/>
      <c r="C43" s="64">
        <v>5</v>
      </c>
      <c r="D43" s="83">
        <v>333.61</v>
      </c>
      <c r="E43" s="61">
        <v>366.971</v>
      </c>
      <c r="F43" s="61">
        <v>400.33199999999994</v>
      </c>
      <c r="G43" s="93">
        <v>482.65874999999994</v>
      </c>
    </row>
    <row r="44" spans="1:7" ht="12.75" customHeight="1">
      <c r="A44" s="63" t="s">
        <v>284</v>
      </c>
      <c r="B44" s="116"/>
      <c r="C44" s="64">
        <v>2</v>
      </c>
      <c r="D44" s="83">
        <v>135.345</v>
      </c>
      <c r="E44" s="61">
        <v>148.8795</v>
      </c>
      <c r="F44" s="61">
        <v>162.414</v>
      </c>
      <c r="G44" s="93">
        <v>199.8675</v>
      </c>
    </row>
    <row r="45" spans="1:7" ht="12.75" customHeight="1">
      <c r="A45" s="63" t="s">
        <v>285</v>
      </c>
      <c r="B45" s="116"/>
      <c r="C45" s="64">
        <v>5</v>
      </c>
      <c r="D45" s="83">
        <v>327.0225</v>
      </c>
      <c r="E45" s="61">
        <v>359.72475000000003</v>
      </c>
      <c r="F45" s="61">
        <v>392.427</v>
      </c>
      <c r="G45" s="93">
        <v>482.65874999999994</v>
      </c>
    </row>
    <row r="46" spans="1:7" ht="12.75" customHeight="1">
      <c r="A46" s="63" t="s">
        <v>286</v>
      </c>
      <c r="B46" s="116"/>
      <c r="C46" s="64">
        <v>2</v>
      </c>
      <c r="D46" s="83">
        <f>135.92+2*1.08</f>
        <v>138.07999999999998</v>
      </c>
      <c r="E46" s="61">
        <f>D46*1.1</f>
        <v>151.888</v>
      </c>
      <c r="F46" s="61">
        <f>D46*1.2</f>
        <v>165.69599999999997</v>
      </c>
      <c r="G46" s="93">
        <v>203.88</v>
      </c>
    </row>
    <row r="47" spans="1:7" ht="12.75" customHeight="1">
      <c r="A47" s="63" t="s">
        <v>287</v>
      </c>
      <c r="B47" s="116"/>
      <c r="C47" s="64">
        <v>5</v>
      </c>
      <c r="D47" s="83">
        <f>328.21+5*1.08</f>
        <v>333.60999999999996</v>
      </c>
      <c r="E47" s="61">
        <f>D47*1.1</f>
        <v>366.971</v>
      </c>
      <c r="F47" s="61">
        <f>D47*1.2</f>
        <v>400.33199999999994</v>
      </c>
      <c r="G47" s="93">
        <v>492.32</v>
      </c>
    </row>
    <row r="48" spans="1:7" ht="12.75" customHeight="1">
      <c r="A48" s="63" t="s">
        <v>288</v>
      </c>
      <c r="B48" s="116"/>
      <c r="C48" s="64">
        <v>2</v>
      </c>
      <c r="D48" s="83">
        <v>135.345</v>
      </c>
      <c r="E48" s="61">
        <v>148.8795</v>
      </c>
      <c r="F48" s="61">
        <v>162.414</v>
      </c>
      <c r="G48" s="93">
        <v>199.8675</v>
      </c>
    </row>
    <row r="49" spans="1:7" ht="12.75" customHeight="1">
      <c r="A49" s="63" t="s">
        <v>289</v>
      </c>
      <c r="B49" s="116"/>
      <c r="C49" s="64">
        <v>5</v>
      </c>
      <c r="D49" s="83">
        <v>327.0225</v>
      </c>
      <c r="E49" s="61">
        <v>359.72475000000003</v>
      </c>
      <c r="F49" s="61">
        <v>392.42699999999996</v>
      </c>
      <c r="G49" s="93">
        <v>482.65874999999994</v>
      </c>
    </row>
    <row r="50" spans="1:7" ht="12.75" customHeight="1">
      <c r="A50" s="63" t="s">
        <v>290</v>
      </c>
      <c r="B50" s="116"/>
      <c r="C50" s="64">
        <v>2</v>
      </c>
      <c r="D50" s="83">
        <v>135.345</v>
      </c>
      <c r="E50" s="61">
        <v>148.8795</v>
      </c>
      <c r="F50" s="61">
        <v>162.414</v>
      </c>
      <c r="G50" s="93">
        <v>199.8675</v>
      </c>
    </row>
    <row r="51" spans="1:7" ht="12.75" customHeight="1">
      <c r="A51" s="63" t="s">
        <v>291</v>
      </c>
      <c r="B51" s="116"/>
      <c r="C51" s="64">
        <v>5</v>
      </c>
      <c r="D51" s="83">
        <v>327.0225</v>
      </c>
      <c r="E51" s="61">
        <v>359.72475000000003</v>
      </c>
      <c r="F51" s="61">
        <v>392.42699999999996</v>
      </c>
      <c r="G51" s="93">
        <v>482.65874999999994</v>
      </c>
    </row>
    <row r="52" spans="1:7" ht="12.75" customHeight="1">
      <c r="A52" s="63" t="s">
        <v>292</v>
      </c>
      <c r="B52" s="116"/>
      <c r="C52" s="64">
        <v>2</v>
      </c>
      <c r="D52" s="83">
        <v>135.345</v>
      </c>
      <c r="E52" s="61">
        <v>148.8795</v>
      </c>
      <c r="F52" s="61">
        <v>162.414</v>
      </c>
      <c r="G52" s="93">
        <v>199.8675</v>
      </c>
    </row>
    <row r="53" spans="1:7" ht="12.75" customHeight="1">
      <c r="A53" s="63" t="s">
        <v>293</v>
      </c>
      <c r="B53" s="116"/>
      <c r="C53" s="64">
        <v>5</v>
      </c>
      <c r="D53" s="83">
        <v>327.0225</v>
      </c>
      <c r="E53" s="61">
        <v>359.72475000000003</v>
      </c>
      <c r="F53" s="61">
        <v>392.42699999999996</v>
      </c>
      <c r="G53" s="93">
        <v>482.65874999999994</v>
      </c>
    </row>
    <row r="54" spans="1:7" ht="15.75">
      <c r="A54" s="118" t="s">
        <v>294</v>
      </c>
      <c r="B54" s="118"/>
      <c r="C54" s="118"/>
      <c r="D54" s="118"/>
      <c r="E54" s="118"/>
      <c r="F54" s="118"/>
      <c r="G54" s="118"/>
    </row>
    <row r="55" spans="1:7" ht="45" customHeight="1">
      <c r="A55" s="57" t="s">
        <v>858</v>
      </c>
      <c r="B55" s="114" t="s">
        <v>747</v>
      </c>
      <c r="C55" s="61">
        <v>24</v>
      </c>
      <c r="D55" s="81">
        <v>350.2</v>
      </c>
      <c r="E55" s="61">
        <v>385.22</v>
      </c>
      <c r="F55" s="61">
        <v>420.24</v>
      </c>
      <c r="G55" s="91">
        <v>455</v>
      </c>
    </row>
    <row r="56" spans="1:7" ht="15">
      <c r="A56" s="57" t="s">
        <v>857</v>
      </c>
      <c r="B56" s="115"/>
      <c r="C56" s="61">
        <v>8</v>
      </c>
      <c r="D56" s="105">
        <f>53.25*40</f>
        <v>2130</v>
      </c>
      <c r="E56" s="106">
        <f>53.25*41</f>
        <v>2183.25</v>
      </c>
      <c r="F56" s="106">
        <f>53.25*42</f>
        <v>2236.5</v>
      </c>
      <c r="G56" s="107">
        <v>2460.15</v>
      </c>
    </row>
    <row r="57" spans="1:7" ht="15" hidden="1">
      <c r="A57" s="114" t="s">
        <v>859</v>
      </c>
      <c r="B57" s="57" t="s">
        <v>860</v>
      </c>
      <c r="C57" s="61" t="s">
        <v>861</v>
      </c>
      <c r="D57" s="90">
        <f>(F56+D55)/32</f>
        <v>80.834375</v>
      </c>
      <c r="E57" s="90">
        <f>(F56+E55)/32</f>
        <v>81.92875000000001</v>
      </c>
      <c r="F57" s="90">
        <f>(F56+F55)/32</f>
        <v>83.023125</v>
      </c>
      <c r="G57" s="94">
        <f>(G56+G55)/32</f>
        <v>91.0984375</v>
      </c>
    </row>
    <row r="58" spans="1:7" ht="15" hidden="1">
      <c r="A58" s="119"/>
      <c r="B58" s="57" t="s">
        <v>862</v>
      </c>
      <c r="C58" s="61" t="s">
        <v>861</v>
      </c>
      <c r="D58" s="90">
        <f>(E56+D55)/32</f>
        <v>79.1703125</v>
      </c>
      <c r="E58" s="90">
        <f>(E56+E55)/32</f>
        <v>80.26468750000001</v>
      </c>
      <c r="F58" s="90">
        <f>(E56+F55)/32</f>
        <v>81.3590625</v>
      </c>
      <c r="G58" s="94">
        <f>(E56+G55)/32</f>
        <v>82.4453125</v>
      </c>
    </row>
    <row r="59" spans="1:7" ht="15" hidden="1">
      <c r="A59" s="115"/>
      <c r="B59" s="57" t="s">
        <v>868</v>
      </c>
      <c r="C59" s="61" t="s">
        <v>861</v>
      </c>
      <c r="D59" s="90">
        <f>(D56+D55)/32</f>
        <v>77.50625</v>
      </c>
      <c r="E59" s="90">
        <f>(D56+E55)/32</f>
        <v>78.60062500000001</v>
      </c>
      <c r="F59" s="90">
        <f>(D56+F55)/32</f>
        <v>79.695</v>
      </c>
      <c r="G59" s="90">
        <f>(D56+G55)/32</f>
        <v>80.78125</v>
      </c>
    </row>
    <row r="60" spans="1:7" ht="33.75">
      <c r="A60" s="57" t="s">
        <v>295</v>
      </c>
      <c r="B60" s="57" t="s">
        <v>748</v>
      </c>
      <c r="C60" s="61">
        <v>25</v>
      </c>
      <c r="D60" s="81">
        <v>663.25</v>
      </c>
      <c r="E60" s="61">
        <v>729.575</v>
      </c>
      <c r="F60" s="61">
        <v>795.9</v>
      </c>
      <c r="G60" s="91">
        <v>891.8</v>
      </c>
    </row>
    <row r="61" spans="1:7" ht="15.75">
      <c r="A61" s="118" t="s">
        <v>296</v>
      </c>
      <c r="B61" s="118"/>
      <c r="C61" s="118"/>
      <c r="D61" s="118"/>
      <c r="E61" s="118"/>
      <c r="F61" s="118"/>
      <c r="G61" s="118"/>
    </row>
    <row r="62" spans="1:7" ht="45">
      <c r="A62" s="57" t="s">
        <v>255</v>
      </c>
      <c r="B62" s="57" t="s">
        <v>749</v>
      </c>
      <c r="C62" s="61">
        <v>20</v>
      </c>
      <c r="D62" s="81">
        <v>905</v>
      </c>
      <c r="E62" s="61">
        <v>995.5</v>
      </c>
      <c r="F62" s="61">
        <v>1086</v>
      </c>
      <c r="G62" s="91">
        <v>1237.6</v>
      </c>
    </row>
    <row r="63" spans="1:7" ht="33.75">
      <c r="A63" s="57" t="s">
        <v>297</v>
      </c>
      <c r="B63" s="57" t="s">
        <v>750</v>
      </c>
      <c r="C63" s="61">
        <v>25</v>
      </c>
      <c r="D63" s="81">
        <v>435.75</v>
      </c>
      <c r="E63" s="61">
        <v>479.325</v>
      </c>
      <c r="F63" s="61">
        <v>522.9</v>
      </c>
      <c r="G63" s="91">
        <v>573.3</v>
      </c>
    </row>
    <row r="64" spans="1:7" ht="45">
      <c r="A64" s="57" t="s">
        <v>298</v>
      </c>
      <c r="B64" s="57" t="s">
        <v>752</v>
      </c>
      <c r="C64" s="61">
        <v>20</v>
      </c>
      <c r="D64" s="81">
        <v>440.66</v>
      </c>
      <c r="E64" s="61">
        <v>484.72600000000006</v>
      </c>
      <c r="F64" s="61">
        <v>528.792</v>
      </c>
      <c r="G64" s="91">
        <v>586.68</v>
      </c>
    </row>
    <row r="65" spans="1:7" ht="33.75">
      <c r="A65" s="57" t="s">
        <v>257</v>
      </c>
      <c r="B65" s="57" t="s">
        <v>751</v>
      </c>
      <c r="C65" s="61">
        <v>25</v>
      </c>
      <c r="D65" s="81">
        <v>269.35</v>
      </c>
      <c r="E65" s="61">
        <v>296.285</v>
      </c>
      <c r="F65" s="61">
        <v>323.22</v>
      </c>
      <c r="G65" s="91">
        <v>340.34000000000003</v>
      </c>
    </row>
    <row r="66" spans="1:7" ht="15.75">
      <c r="A66" s="118" t="s">
        <v>299</v>
      </c>
      <c r="B66" s="118"/>
      <c r="C66" s="118"/>
      <c r="D66" s="118"/>
      <c r="E66" s="118"/>
      <c r="F66" s="118"/>
      <c r="G66" s="118"/>
    </row>
    <row r="67" spans="1:7" ht="22.5">
      <c r="A67" s="57" t="s">
        <v>300</v>
      </c>
      <c r="B67" s="57" t="s">
        <v>753</v>
      </c>
      <c r="C67" s="61">
        <v>23</v>
      </c>
      <c r="D67" s="81">
        <v>774.04</v>
      </c>
      <c r="E67" s="61">
        <v>851.4440000000002</v>
      </c>
      <c r="F67" s="61">
        <v>928.8480000000001</v>
      </c>
      <c r="G67" s="91">
        <v>1048.88</v>
      </c>
    </row>
    <row r="68" spans="1:7" ht="33.75">
      <c r="A68" s="57" t="s">
        <v>258</v>
      </c>
      <c r="B68" s="57" t="s">
        <v>754</v>
      </c>
      <c r="C68" s="61">
        <v>23</v>
      </c>
      <c r="D68" s="81">
        <v>636.13</v>
      </c>
      <c r="E68" s="61">
        <v>699.743</v>
      </c>
      <c r="F68" s="61">
        <v>763.356</v>
      </c>
      <c r="G68" s="91">
        <v>855.8</v>
      </c>
    </row>
    <row r="69" spans="1:7" ht="33.75">
      <c r="A69" s="57" t="s">
        <v>301</v>
      </c>
      <c r="B69" s="57" t="s">
        <v>754</v>
      </c>
      <c r="C69" s="61">
        <v>23</v>
      </c>
      <c r="D69" s="81">
        <v>579.91</v>
      </c>
      <c r="E69" s="61">
        <v>637.9010000000002</v>
      </c>
      <c r="F69" s="61">
        <v>695.892</v>
      </c>
      <c r="G69" s="91">
        <v>777.1</v>
      </c>
    </row>
    <row r="70" spans="1:7" ht="15.75">
      <c r="A70" s="118" t="s">
        <v>302</v>
      </c>
      <c r="B70" s="118"/>
      <c r="C70" s="118"/>
      <c r="D70" s="118"/>
      <c r="E70" s="118"/>
      <c r="F70" s="118"/>
      <c r="G70" s="118"/>
    </row>
    <row r="71" spans="1:7" ht="33.75">
      <c r="A71" s="57" t="s">
        <v>256</v>
      </c>
      <c r="B71" s="57" t="s">
        <v>755</v>
      </c>
      <c r="C71" s="61">
        <v>25</v>
      </c>
      <c r="D71" s="81">
        <f>270.89+25*1.08</f>
        <v>297.89</v>
      </c>
      <c r="E71" s="61">
        <f>D71*1.1</f>
        <v>327.67900000000003</v>
      </c>
      <c r="F71" s="61">
        <f>D71*1.2</f>
        <v>357.46799999999996</v>
      </c>
      <c r="G71" s="91">
        <v>379.25</v>
      </c>
    </row>
    <row r="72" spans="1:7" ht="15.75">
      <c r="A72" s="144" t="s">
        <v>869</v>
      </c>
      <c r="B72" s="145"/>
      <c r="C72" s="145"/>
      <c r="D72" s="145"/>
      <c r="E72" s="145"/>
      <c r="F72" s="145"/>
      <c r="G72" s="146"/>
    </row>
    <row r="73" spans="1:7" ht="33.75">
      <c r="A73" s="57" t="s">
        <v>303</v>
      </c>
      <c r="B73" s="57" t="s">
        <v>756</v>
      </c>
      <c r="C73" s="61">
        <v>25</v>
      </c>
      <c r="D73" s="81">
        <v>286.25</v>
      </c>
      <c r="E73" s="61">
        <v>314.875</v>
      </c>
      <c r="F73" s="61">
        <v>343.5</v>
      </c>
      <c r="G73" s="91">
        <v>364</v>
      </c>
    </row>
  </sheetData>
  <sheetProtection/>
  <mergeCells count="17">
    <mergeCell ref="A61:G61"/>
    <mergeCell ref="A66:G66"/>
    <mergeCell ref="A57:A59"/>
    <mergeCell ref="A72:G72"/>
    <mergeCell ref="A70:G70"/>
    <mergeCell ref="B12:B13"/>
    <mergeCell ref="B17:B18"/>
    <mergeCell ref="B55:B56"/>
    <mergeCell ref="B21:B22"/>
    <mergeCell ref="B26:B53"/>
    <mergeCell ref="A25:G25"/>
    <mergeCell ref="A54:G54"/>
    <mergeCell ref="B15:B16"/>
    <mergeCell ref="A5:G5"/>
    <mergeCell ref="A6:G6"/>
    <mergeCell ref="A7:G7"/>
    <mergeCell ref="A10:G10"/>
  </mergeCells>
  <hyperlinks>
    <hyperlink ref="B4" r:id="rId1" display="www.akademia33.ru"/>
  </hyperlinks>
  <printOptions/>
  <pageMargins left="0.984251968503937" right="0.2362204724409449" top="0.31496062992125984" bottom="0.31496062992125984" header="0.31496062992125984" footer="0.31496062992125984"/>
  <pageSetup fitToHeight="2" fitToWidth="1" horizontalDpi="600" verticalDpi="600" orientation="portrait" paperSize="9" scale="65" r:id="rId3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2"/>
  <sheetViews>
    <sheetView zoomScale="85" zoomScaleNormal="85" zoomScalePageLayoutView="0" workbookViewId="0" topLeftCell="A1">
      <pane xSplit="4" ySplit="8" topLeftCell="E9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C2" sqref="C2:C4"/>
    </sheetView>
  </sheetViews>
  <sheetFormatPr defaultColWidth="9.140625" defaultRowHeight="15"/>
  <cols>
    <col min="1" max="1" width="9.140625" style="0" hidden="1" customWidth="1"/>
    <col min="2" max="2" width="40.8515625" style="0" bestFit="1" customWidth="1"/>
    <col min="3" max="3" width="40.8515625" style="0" customWidth="1"/>
    <col min="4" max="6" width="12.8515625" style="0" customWidth="1"/>
    <col min="7" max="7" width="10.421875" style="31" hidden="1" customWidth="1"/>
    <col min="8" max="8" width="12.8515625" style="0" hidden="1" customWidth="1"/>
  </cols>
  <sheetData>
    <row r="2" spans="3:8" ht="18.75">
      <c r="C2" s="78" t="s">
        <v>846</v>
      </c>
      <c r="D2" s="14"/>
      <c r="E2" s="15"/>
      <c r="F2" s="15"/>
      <c r="H2" s="15"/>
    </row>
    <row r="3" spans="3:8" ht="15">
      <c r="C3" t="s">
        <v>12</v>
      </c>
      <c r="E3" t="s">
        <v>13</v>
      </c>
      <c r="F3" s="25"/>
      <c r="H3" s="25"/>
    </row>
    <row r="4" spans="3:8" ht="15">
      <c r="C4" s="130" t="s">
        <v>14</v>
      </c>
      <c r="D4" s="25"/>
      <c r="E4" s="25"/>
      <c r="F4" s="25"/>
      <c r="H4" s="25"/>
    </row>
    <row r="5" spans="4:8" ht="15">
      <c r="D5" s="131" t="s">
        <v>851</v>
      </c>
      <c r="E5" s="131" t="s">
        <v>852</v>
      </c>
      <c r="F5" s="14"/>
      <c r="H5" s="14"/>
    </row>
    <row r="6" spans="2:8" ht="15.75">
      <c r="B6" s="149" t="s">
        <v>736</v>
      </c>
      <c r="C6" s="149"/>
      <c r="D6" s="149"/>
      <c r="E6" s="149"/>
      <c r="F6" s="149"/>
      <c r="G6" s="149"/>
      <c r="H6" s="65"/>
    </row>
    <row r="7" spans="2:8" ht="18">
      <c r="B7" s="148" t="s">
        <v>719</v>
      </c>
      <c r="C7" s="148"/>
      <c r="D7" s="148"/>
      <c r="E7" s="66"/>
      <c r="F7" s="66"/>
      <c r="G7" s="67"/>
      <c r="H7" s="66"/>
    </row>
    <row r="8" spans="2:8" ht="27.75" customHeight="1">
      <c r="B8" s="68" t="s">
        <v>26</v>
      </c>
      <c r="C8" s="68"/>
      <c r="D8" s="68" t="s">
        <v>27</v>
      </c>
      <c r="E8" s="69" t="s">
        <v>817</v>
      </c>
      <c r="F8" s="69" t="s">
        <v>853</v>
      </c>
      <c r="G8" s="70" t="s">
        <v>819</v>
      </c>
      <c r="H8" s="69" t="s">
        <v>818</v>
      </c>
    </row>
    <row r="9" spans="2:8" ht="14.25" customHeight="1">
      <c r="B9" s="108" t="s">
        <v>870</v>
      </c>
      <c r="C9" s="68"/>
      <c r="D9" s="109" t="s">
        <v>737</v>
      </c>
      <c r="E9" s="69">
        <f>3.04+0.02</f>
        <v>3.06</v>
      </c>
      <c r="F9" s="110">
        <f>E9*1.1</f>
        <v>3.3660000000000005</v>
      </c>
      <c r="G9" s="70"/>
      <c r="H9" s="69"/>
    </row>
    <row r="10" spans="2:8" ht="14.25" customHeight="1">
      <c r="B10" s="108" t="s">
        <v>871</v>
      </c>
      <c r="C10" s="68"/>
      <c r="D10" s="109" t="s">
        <v>737</v>
      </c>
      <c r="E10" s="69">
        <f aca="true" t="shared" si="0" ref="E10:E34">3.04+0.02</f>
        <v>3.06</v>
      </c>
      <c r="F10" s="110">
        <f aca="true" t="shared" si="1" ref="F10:F34">E10*1.1</f>
        <v>3.3660000000000005</v>
      </c>
      <c r="G10" s="70"/>
      <c r="H10" s="69"/>
    </row>
    <row r="11" spans="2:8" ht="14.25" customHeight="1">
      <c r="B11" s="108" t="s">
        <v>872</v>
      </c>
      <c r="C11" s="68"/>
      <c r="D11" s="109" t="s">
        <v>737</v>
      </c>
      <c r="E11" s="69">
        <f t="shared" si="0"/>
        <v>3.06</v>
      </c>
      <c r="F11" s="110">
        <f t="shared" si="1"/>
        <v>3.3660000000000005</v>
      </c>
      <c r="G11" s="70"/>
      <c r="H11" s="69"/>
    </row>
    <row r="12" spans="2:8" ht="14.25" customHeight="1">
      <c r="B12" s="108" t="s">
        <v>873</v>
      </c>
      <c r="C12" s="68"/>
      <c r="D12" s="109" t="s">
        <v>737</v>
      </c>
      <c r="E12" s="69">
        <f t="shared" si="0"/>
        <v>3.06</v>
      </c>
      <c r="F12" s="110">
        <f t="shared" si="1"/>
        <v>3.3660000000000005</v>
      </c>
      <c r="G12" s="70"/>
      <c r="H12" s="69"/>
    </row>
    <row r="13" spans="2:8" ht="14.25" customHeight="1">
      <c r="B13" s="108" t="s">
        <v>874</v>
      </c>
      <c r="C13" s="68"/>
      <c r="D13" s="109" t="s">
        <v>737</v>
      </c>
      <c r="E13" s="69">
        <f t="shared" si="0"/>
        <v>3.06</v>
      </c>
      <c r="F13" s="110">
        <f t="shared" si="1"/>
        <v>3.3660000000000005</v>
      </c>
      <c r="G13" s="70"/>
      <c r="H13" s="69"/>
    </row>
    <row r="14" spans="2:8" ht="14.25" customHeight="1">
      <c r="B14" s="108" t="s">
        <v>875</v>
      </c>
      <c r="C14" s="68"/>
      <c r="D14" s="109" t="s">
        <v>737</v>
      </c>
      <c r="E14" s="69">
        <f t="shared" si="0"/>
        <v>3.06</v>
      </c>
      <c r="F14" s="110">
        <f t="shared" si="1"/>
        <v>3.3660000000000005</v>
      </c>
      <c r="G14" s="70"/>
      <c r="H14" s="69"/>
    </row>
    <row r="15" spans="2:8" ht="14.25" customHeight="1">
      <c r="B15" s="108" t="s">
        <v>876</v>
      </c>
      <c r="C15" s="68"/>
      <c r="D15" s="109" t="s">
        <v>737</v>
      </c>
      <c r="E15" s="69">
        <f t="shared" si="0"/>
        <v>3.06</v>
      </c>
      <c r="F15" s="110">
        <f t="shared" si="1"/>
        <v>3.3660000000000005</v>
      </c>
      <c r="G15" s="70"/>
      <c r="H15" s="69"/>
    </row>
    <row r="16" spans="2:8" ht="14.25" customHeight="1">
      <c r="B16" s="108" t="s">
        <v>877</v>
      </c>
      <c r="C16" s="68"/>
      <c r="D16" s="109" t="s">
        <v>737</v>
      </c>
      <c r="E16" s="69">
        <f t="shared" si="0"/>
        <v>3.06</v>
      </c>
      <c r="F16" s="110">
        <f t="shared" si="1"/>
        <v>3.3660000000000005</v>
      </c>
      <c r="G16" s="70"/>
      <c r="H16" s="69"/>
    </row>
    <row r="17" spans="2:8" ht="14.25" customHeight="1">
      <c r="B17" s="108" t="s">
        <v>878</v>
      </c>
      <c r="C17" s="68"/>
      <c r="D17" s="109" t="s">
        <v>737</v>
      </c>
      <c r="E17" s="69">
        <f t="shared" si="0"/>
        <v>3.06</v>
      </c>
      <c r="F17" s="110">
        <f t="shared" si="1"/>
        <v>3.3660000000000005</v>
      </c>
      <c r="G17" s="70"/>
      <c r="H17" s="69"/>
    </row>
    <row r="18" spans="2:8" ht="14.25" customHeight="1">
      <c r="B18" s="108" t="s">
        <v>879</v>
      </c>
      <c r="C18" s="68"/>
      <c r="D18" s="109" t="s">
        <v>737</v>
      </c>
      <c r="E18" s="69">
        <f t="shared" si="0"/>
        <v>3.06</v>
      </c>
      <c r="F18" s="110">
        <f t="shared" si="1"/>
        <v>3.3660000000000005</v>
      </c>
      <c r="G18" s="70"/>
      <c r="H18" s="69"/>
    </row>
    <row r="19" spans="2:8" ht="14.25" customHeight="1">
      <c r="B19" s="108" t="s">
        <v>880</v>
      </c>
      <c r="C19" s="68"/>
      <c r="D19" s="109" t="s">
        <v>737</v>
      </c>
      <c r="E19" s="69">
        <f t="shared" si="0"/>
        <v>3.06</v>
      </c>
      <c r="F19" s="110">
        <f t="shared" si="1"/>
        <v>3.3660000000000005</v>
      </c>
      <c r="G19" s="70"/>
      <c r="H19" s="69"/>
    </row>
    <row r="20" spans="2:8" ht="14.25" customHeight="1">
      <c r="B20" s="108" t="s">
        <v>881</v>
      </c>
      <c r="C20" s="68"/>
      <c r="D20" s="109" t="s">
        <v>737</v>
      </c>
      <c r="E20" s="69">
        <f t="shared" si="0"/>
        <v>3.06</v>
      </c>
      <c r="F20" s="110">
        <f t="shared" si="1"/>
        <v>3.3660000000000005</v>
      </c>
      <c r="G20" s="70"/>
      <c r="H20" s="69"/>
    </row>
    <row r="21" spans="2:8" ht="14.25" customHeight="1">
      <c r="B21" s="108" t="s">
        <v>882</v>
      </c>
      <c r="C21" s="68"/>
      <c r="D21" s="109" t="s">
        <v>737</v>
      </c>
      <c r="E21" s="69">
        <f t="shared" si="0"/>
        <v>3.06</v>
      </c>
      <c r="F21" s="110">
        <f t="shared" si="1"/>
        <v>3.3660000000000005</v>
      </c>
      <c r="G21" s="70"/>
      <c r="H21" s="69"/>
    </row>
    <row r="22" spans="2:8" ht="14.25" customHeight="1">
      <c r="B22" s="108" t="s">
        <v>883</v>
      </c>
      <c r="C22" s="68"/>
      <c r="D22" s="109" t="s">
        <v>737</v>
      </c>
      <c r="E22" s="69">
        <f t="shared" si="0"/>
        <v>3.06</v>
      </c>
      <c r="F22" s="110">
        <f t="shared" si="1"/>
        <v>3.3660000000000005</v>
      </c>
      <c r="G22" s="70"/>
      <c r="H22" s="69"/>
    </row>
    <row r="23" spans="2:8" ht="14.25" customHeight="1">
      <c r="B23" s="108" t="s">
        <v>884</v>
      </c>
      <c r="C23" s="68"/>
      <c r="D23" s="109" t="s">
        <v>737</v>
      </c>
      <c r="E23" s="69">
        <f t="shared" si="0"/>
        <v>3.06</v>
      </c>
      <c r="F23" s="110">
        <f t="shared" si="1"/>
        <v>3.3660000000000005</v>
      </c>
      <c r="G23" s="70"/>
      <c r="H23" s="69"/>
    </row>
    <row r="24" spans="2:8" ht="14.25" customHeight="1">
      <c r="B24" s="108" t="s">
        <v>885</v>
      </c>
      <c r="C24" s="68"/>
      <c r="D24" s="109" t="s">
        <v>737</v>
      </c>
      <c r="E24" s="69">
        <f t="shared" si="0"/>
        <v>3.06</v>
      </c>
      <c r="F24" s="110">
        <f t="shared" si="1"/>
        <v>3.3660000000000005</v>
      </c>
      <c r="G24" s="70"/>
      <c r="H24" s="69"/>
    </row>
    <row r="25" spans="2:8" ht="14.25" customHeight="1">
      <c r="B25" s="108" t="s">
        <v>886</v>
      </c>
      <c r="C25" s="68"/>
      <c r="D25" s="109" t="s">
        <v>737</v>
      </c>
      <c r="E25" s="69">
        <f t="shared" si="0"/>
        <v>3.06</v>
      </c>
      <c r="F25" s="110">
        <f t="shared" si="1"/>
        <v>3.3660000000000005</v>
      </c>
      <c r="G25" s="70"/>
      <c r="H25" s="69"/>
    </row>
    <row r="26" spans="2:8" ht="14.25" customHeight="1">
      <c r="B26" s="108" t="s">
        <v>887</v>
      </c>
      <c r="C26" s="68"/>
      <c r="D26" s="109" t="s">
        <v>737</v>
      </c>
      <c r="E26" s="69">
        <f t="shared" si="0"/>
        <v>3.06</v>
      </c>
      <c r="F26" s="110">
        <f t="shared" si="1"/>
        <v>3.3660000000000005</v>
      </c>
      <c r="G26" s="70"/>
      <c r="H26" s="69"/>
    </row>
    <row r="27" spans="2:8" ht="14.25" customHeight="1">
      <c r="B27" s="108" t="s">
        <v>888</v>
      </c>
      <c r="C27" s="68"/>
      <c r="D27" s="109" t="s">
        <v>737</v>
      </c>
      <c r="E27" s="69">
        <f t="shared" si="0"/>
        <v>3.06</v>
      </c>
      <c r="F27" s="110">
        <f t="shared" si="1"/>
        <v>3.3660000000000005</v>
      </c>
      <c r="G27" s="70"/>
      <c r="H27" s="69"/>
    </row>
    <row r="28" spans="2:8" ht="14.25" customHeight="1">
      <c r="B28" s="108" t="s">
        <v>889</v>
      </c>
      <c r="C28" s="68"/>
      <c r="D28" s="109" t="s">
        <v>737</v>
      </c>
      <c r="E28" s="69">
        <f t="shared" si="0"/>
        <v>3.06</v>
      </c>
      <c r="F28" s="110">
        <f t="shared" si="1"/>
        <v>3.3660000000000005</v>
      </c>
      <c r="G28" s="70"/>
      <c r="H28" s="69"/>
    </row>
    <row r="29" spans="2:8" ht="14.25" customHeight="1">
      <c r="B29" s="108" t="s">
        <v>890</v>
      </c>
      <c r="C29" s="68"/>
      <c r="D29" s="109" t="s">
        <v>737</v>
      </c>
      <c r="E29" s="69">
        <f t="shared" si="0"/>
        <v>3.06</v>
      </c>
      <c r="F29" s="110">
        <f t="shared" si="1"/>
        <v>3.3660000000000005</v>
      </c>
      <c r="G29" s="70"/>
      <c r="H29" s="69"/>
    </row>
    <row r="30" spans="2:8" ht="14.25" customHeight="1">
      <c r="B30" s="108" t="s">
        <v>891</v>
      </c>
      <c r="C30" s="68"/>
      <c r="D30" s="109" t="s">
        <v>737</v>
      </c>
      <c r="E30" s="69">
        <f t="shared" si="0"/>
        <v>3.06</v>
      </c>
      <c r="F30" s="110">
        <f t="shared" si="1"/>
        <v>3.3660000000000005</v>
      </c>
      <c r="G30" s="70"/>
      <c r="H30" s="69"/>
    </row>
    <row r="31" spans="2:8" ht="14.25" customHeight="1">
      <c r="B31" s="108" t="s">
        <v>892</v>
      </c>
      <c r="C31" s="68"/>
      <c r="D31" s="109" t="s">
        <v>737</v>
      </c>
      <c r="E31" s="69">
        <f t="shared" si="0"/>
        <v>3.06</v>
      </c>
      <c r="F31" s="110">
        <f t="shared" si="1"/>
        <v>3.3660000000000005</v>
      </c>
      <c r="G31" s="70"/>
      <c r="H31" s="69"/>
    </row>
    <row r="32" spans="2:8" ht="14.25" customHeight="1">
      <c r="B32" s="108" t="s">
        <v>893</v>
      </c>
      <c r="C32" s="68"/>
      <c r="D32" s="109" t="s">
        <v>737</v>
      </c>
      <c r="E32" s="69">
        <f t="shared" si="0"/>
        <v>3.06</v>
      </c>
      <c r="F32" s="110">
        <f t="shared" si="1"/>
        <v>3.3660000000000005</v>
      </c>
      <c r="G32" s="70"/>
      <c r="H32" s="69"/>
    </row>
    <row r="33" spans="2:8" ht="14.25" customHeight="1">
      <c r="B33" s="108" t="s">
        <v>894</v>
      </c>
      <c r="C33" s="68"/>
      <c r="D33" s="109" t="s">
        <v>737</v>
      </c>
      <c r="E33" s="69">
        <f t="shared" si="0"/>
        <v>3.06</v>
      </c>
      <c r="F33" s="110">
        <f t="shared" si="1"/>
        <v>3.3660000000000005</v>
      </c>
      <c r="G33" s="70"/>
      <c r="H33" s="69"/>
    </row>
    <row r="34" spans="2:8" ht="14.25" customHeight="1">
      <c r="B34" s="108" t="s">
        <v>895</v>
      </c>
      <c r="C34" s="68"/>
      <c r="D34" s="109" t="s">
        <v>737</v>
      </c>
      <c r="E34" s="69">
        <f t="shared" si="0"/>
        <v>3.06</v>
      </c>
      <c r="F34" s="110">
        <f t="shared" si="1"/>
        <v>3.3660000000000005</v>
      </c>
      <c r="G34" s="70"/>
      <c r="H34" s="69"/>
    </row>
    <row r="35" spans="1:10" ht="15" customHeight="1">
      <c r="A35" s="1" t="s">
        <v>400</v>
      </c>
      <c r="B35" s="71" t="s">
        <v>28</v>
      </c>
      <c r="C35" s="147" t="s">
        <v>757</v>
      </c>
      <c r="D35" s="72">
        <v>5</v>
      </c>
      <c r="E35" s="109">
        <f>14.45+5*0.02</f>
        <v>14.549999999999999</v>
      </c>
      <c r="F35" s="73">
        <f>E35*1.1</f>
        <v>16.005</v>
      </c>
      <c r="G35" s="32">
        <v>17.30914493534484</v>
      </c>
      <c r="H35" s="73">
        <v>20.19400242456898</v>
      </c>
      <c r="J35" s="12"/>
    </row>
    <row r="36" spans="1:10" ht="15">
      <c r="A36" s="1" t="s">
        <v>401</v>
      </c>
      <c r="B36" s="71" t="s">
        <v>29</v>
      </c>
      <c r="C36" s="147"/>
      <c r="D36" s="72">
        <v>10</v>
      </c>
      <c r="E36" s="109">
        <f>27.24+10*0.02</f>
        <v>27.439999999999998</v>
      </c>
      <c r="F36" s="73">
        <f aca="true" t="shared" si="2" ref="F36:F125">E36*1.1</f>
        <v>30.184</v>
      </c>
      <c r="G36" s="32">
        <v>32.44842532467528</v>
      </c>
      <c r="H36" s="73">
        <v>37.85649621212116</v>
      </c>
      <c r="J36" s="12"/>
    </row>
    <row r="37" spans="1:8" ht="15">
      <c r="A37" s="1" t="s">
        <v>402</v>
      </c>
      <c r="B37" s="71" t="s">
        <v>30</v>
      </c>
      <c r="C37" s="147"/>
      <c r="D37" s="72">
        <v>25</v>
      </c>
      <c r="E37" s="109">
        <f>65.84+25*0.02</f>
        <v>66.34</v>
      </c>
      <c r="F37" s="73">
        <f t="shared" si="2"/>
        <v>72.974</v>
      </c>
      <c r="G37" s="32">
        <v>78.73963709677415</v>
      </c>
      <c r="H37" s="73">
        <v>91.8629099462365</v>
      </c>
    </row>
    <row r="38" spans="1:8" ht="15">
      <c r="A38" s="1" t="s">
        <v>403</v>
      </c>
      <c r="B38" s="71" t="s">
        <v>31</v>
      </c>
      <c r="C38" s="147"/>
      <c r="D38" s="72">
        <v>1</v>
      </c>
      <c r="E38" s="109">
        <f>4.34+1*0.02</f>
        <v>4.359999999999999</v>
      </c>
      <c r="F38" s="73">
        <f t="shared" si="2"/>
        <v>4.795999999999999</v>
      </c>
      <c r="G38" s="32">
        <v>5.16</v>
      </c>
      <c r="H38" s="73">
        <v>6.02</v>
      </c>
    </row>
    <row r="39" spans="1:8" ht="15">
      <c r="A39" s="1"/>
      <c r="B39" s="108" t="s">
        <v>820</v>
      </c>
      <c r="C39" s="102"/>
      <c r="D39" s="109" t="s">
        <v>896</v>
      </c>
      <c r="E39" s="109">
        <f>7.71+5*0.02</f>
        <v>7.81</v>
      </c>
      <c r="F39" s="73">
        <f t="shared" si="2"/>
        <v>8.591000000000001</v>
      </c>
      <c r="G39" s="32"/>
      <c r="H39" s="73"/>
    </row>
    <row r="40" spans="1:8" ht="15">
      <c r="A40" s="1"/>
      <c r="B40" s="108" t="s">
        <v>821</v>
      </c>
      <c r="C40" s="102"/>
      <c r="D40" s="109" t="s">
        <v>896</v>
      </c>
      <c r="E40" s="109">
        <f>8.05+5*0.02</f>
        <v>8.15</v>
      </c>
      <c r="F40" s="73">
        <f t="shared" si="2"/>
        <v>8.965000000000002</v>
      </c>
      <c r="G40" s="32"/>
      <c r="H40" s="73"/>
    </row>
    <row r="41" spans="1:8" ht="15">
      <c r="A41" s="1"/>
      <c r="B41" s="108" t="s">
        <v>822</v>
      </c>
      <c r="C41" s="102"/>
      <c r="D41" s="109" t="s">
        <v>896</v>
      </c>
      <c r="E41" s="109">
        <f>8.05+5*0.02</f>
        <v>8.15</v>
      </c>
      <c r="F41" s="73">
        <f t="shared" si="2"/>
        <v>8.965000000000002</v>
      </c>
      <c r="G41" s="32"/>
      <c r="H41" s="73"/>
    </row>
    <row r="42" spans="1:8" ht="15">
      <c r="A42" s="1"/>
      <c r="B42" s="108" t="s">
        <v>823</v>
      </c>
      <c r="C42" s="102"/>
      <c r="D42" s="109" t="s">
        <v>896</v>
      </c>
      <c r="E42" s="109">
        <f>8.05+5*0.02</f>
        <v>8.15</v>
      </c>
      <c r="F42" s="73">
        <f t="shared" si="2"/>
        <v>8.965000000000002</v>
      </c>
      <c r="G42" s="32"/>
      <c r="H42" s="73"/>
    </row>
    <row r="43" spans="1:8" ht="15">
      <c r="A43" s="1"/>
      <c r="B43" s="108" t="s">
        <v>824</v>
      </c>
      <c r="C43" s="102"/>
      <c r="D43" s="109" t="s">
        <v>896</v>
      </c>
      <c r="E43" s="109">
        <f>8.23+5*0.02</f>
        <v>8.33</v>
      </c>
      <c r="F43" s="73">
        <f t="shared" si="2"/>
        <v>9.163</v>
      </c>
      <c r="G43" s="32"/>
      <c r="H43" s="73"/>
    </row>
    <row r="44" spans="1:8" ht="15">
      <c r="A44" s="1"/>
      <c r="B44" s="108" t="s">
        <v>825</v>
      </c>
      <c r="C44" s="102"/>
      <c r="D44" s="109" t="s">
        <v>896</v>
      </c>
      <c r="E44" s="109">
        <f>8.05+5*0.02</f>
        <v>8.15</v>
      </c>
      <c r="F44" s="73">
        <f t="shared" si="2"/>
        <v>8.965000000000002</v>
      </c>
      <c r="G44" s="32"/>
      <c r="H44" s="73"/>
    </row>
    <row r="45" spans="1:8" ht="15">
      <c r="A45" s="1"/>
      <c r="B45" s="108" t="s">
        <v>826</v>
      </c>
      <c r="C45" s="102"/>
      <c r="D45" s="109" t="s">
        <v>896</v>
      </c>
      <c r="E45" s="109">
        <f>8.11+5*0.02</f>
        <v>8.209999999999999</v>
      </c>
      <c r="F45" s="73">
        <f t="shared" si="2"/>
        <v>9.031</v>
      </c>
      <c r="G45" s="32"/>
      <c r="H45" s="73"/>
    </row>
    <row r="46" spans="1:8" ht="15">
      <c r="A46" s="1"/>
      <c r="B46" s="108" t="s">
        <v>827</v>
      </c>
      <c r="C46" s="102"/>
      <c r="D46" s="109" t="s">
        <v>896</v>
      </c>
      <c r="E46" s="109">
        <f>8.08+5*0.02</f>
        <v>8.18</v>
      </c>
      <c r="F46" s="73">
        <f t="shared" si="2"/>
        <v>8.998000000000001</v>
      </c>
      <c r="G46" s="32"/>
      <c r="H46" s="73"/>
    </row>
    <row r="47" spans="1:8" ht="15">
      <c r="A47" s="1"/>
      <c r="B47" s="108" t="s">
        <v>828</v>
      </c>
      <c r="C47" s="102"/>
      <c r="D47" s="109" t="s">
        <v>896</v>
      </c>
      <c r="E47" s="109">
        <f>8.95+5*0.02</f>
        <v>9.049999999999999</v>
      </c>
      <c r="F47" s="73">
        <f t="shared" si="2"/>
        <v>9.955</v>
      </c>
      <c r="G47" s="32"/>
      <c r="H47" s="73"/>
    </row>
    <row r="48" spans="1:8" ht="15">
      <c r="A48" s="1"/>
      <c r="B48" s="108" t="s">
        <v>829</v>
      </c>
      <c r="C48" s="102"/>
      <c r="D48" s="109" t="s">
        <v>896</v>
      </c>
      <c r="E48" s="109">
        <f>8.58+5*0.02</f>
        <v>8.68</v>
      </c>
      <c r="F48" s="73">
        <f t="shared" si="2"/>
        <v>9.548</v>
      </c>
      <c r="G48" s="32"/>
      <c r="H48" s="73"/>
    </row>
    <row r="49" spans="1:8" ht="15">
      <c r="A49" s="1"/>
      <c r="B49" s="108" t="s">
        <v>830</v>
      </c>
      <c r="C49" s="102"/>
      <c r="D49" s="109" t="s">
        <v>896</v>
      </c>
      <c r="E49" s="109">
        <f>6.41+5*0.02</f>
        <v>6.51</v>
      </c>
      <c r="F49" s="73">
        <f t="shared" si="2"/>
        <v>7.1610000000000005</v>
      </c>
      <c r="G49" s="32"/>
      <c r="H49" s="73"/>
    </row>
    <row r="50" spans="1:8" ht="15">
      <c r="A50" s="1"/>
      <c r="B50" s="108" t="s">
        <v>831</v>
      </c>
      <c r="C50" s="102"/>
      <c r="D50" s="109" t="s">
        <v>896</v>
      </c>
      <c r="E50" s="109">
        <f>7.41+5*0.02</f>
        <v>7.51</v>
      </c>
      <c r="F50" s="73">
        <f t="shared" si="2"/>
        <v>8.261000000000001</v>
      </c>
      <c r="G50" s="32"/>
      <c r="H50" s="73"/>
    </row>
    <row r="51" spans="1:8" ht="15">
      <c r="A51" s="1"/>
      <c r="B51" s="108" t="s">
        <v>832</v>
      </c>
      <c r="C51" s="102"/>
      <c r="D51" s="109" t="s">
        <v>896</v>
      </c>
      <c r="E51" s="109">
        <f>7.41+5*0.02</f>
        <v>7.51</v>
      </c>
      <c r="F51" s="73">
        <f t="shared" si="2"/>
        <v>8.261000000000001</v>
      </c>
      <c r="G51" s="32"/>
      <c r="H51" s="73"/>
    </row>
    <row r="52" spans="1:8" ht="15">
      <c r="A52" s="1"/>
      <c r="B52" s="108" t="s">
        <v>833</v>
      </c>
      <c r="C52" s="102"/>
      <c r="D52" s="109" t="s">
        <v>896</v>
      </c>
      <c r="E52" s="109">
        <f>7.2+5*0.02</f>
        <v>7.3</v>
      </c>
      <c r="F52" s="73">
        <f t="shared" si="2"/>
        <v>8.030000000000001</v>
      </c>
      <c r="G52" s="32"/>
      <c r="H52" s="73"/>
    </row>
    <row r="53" spans="1:8" ht="15">
      <c r="A53" s="1"/>
      <c r="B53" s="108" t="s">
        <v>834</v>
      </c>
      <c r="C53" s="102"/>
      <c r="D53" s="109" t="s">
        <v>896</v>
      </c>
      <c r="E53" s="109">
        <f>6.74+5*0.02</f>
        <v>6.84</v>
      </c>
      <c r="F53" s="73">
        <f t="shared" si="2"/>
        <v>7.524</v>
      </c>
      <c r="G53" s="32"/>
      <c r="H53" s="73"/>
    </row>
    <row r="54" spans="1:8" ht="15">
      <c r="A54" s="1"/>
      <c r="B54" s="108" t="s">
        <v>835</v>
      </c>
      <c r="C54" s="102"/>
      <c r="D54" s="109" t="s">
        <v>896</v>
      </c>
      <c r="E54" s="109">
        <f>6.44+5*0.02</f>
        <v>6.54</v>
      </c>
      <c r="F54" s="73">
        <f t="shared" si="2"/>
        <v>7.194000000000001</v>
      </c>
      <c r="G54" s="32"/>
      <c r="H54" s="73"/>
    </row>
    <row r="55" spans="1:8" ht="15">
      <c r="A55" s="1"/>
      <c r="B55" s="108" t="s">
        <v>836</v>
      </c>
      <c r="C55" s="102"/>
      <c r="D55" s="109" t="s">
        <v>896</v>
      </c>
      <c r="E55" s="109">
        <f>6.68+5*0.02</f>
        <v>6.779999999999999</v>
      </c>
      <c r="F55" s="73">
        <f t="shared" si="2"/>
        <v>7.458</v>
      </c>
      <c r="G55" s="32"/>
      <c r="H55" s="73"/>
    </row>
    <row r="56" spans="1:8" ht="15">
      <c r="A56" s="1"/>
      <c r="B56" s="108" t="s">
        <v>837</v>
      </c>
      <c r="C56" s="102"/>
      <c r="D56" s="109" t="s">
        <v>896</v>
      </c>
      <c r="E56" s="109">
        <f>6.46+5*0.02</f>
        <v>6.56</v>
      </c>
      <c r="F56" s="73">
        <f t="shared" si="2"/>
        <v>7.216</v>
      </c>
      <c r="G56" s="32"/>
      <c r="H56" s="73"/>
    </row>
    <row r="57" spans="1:8" ht="15">
      <c r="A57" s="1"/>
      <c r="B57" s="108" t="s">
        <v>838</v>
      </c>
      <c r="C57" s="102"/>
      <c r="D57" s="109" t="s">
        <v>896</v>
      </c>
      <c r="E57" s="109">
        <f>6.65+5*0.02</f>
        <v>6.75</v>
      </c>
      <c r="F57" s="73">
        <f t="shared" si="2"/>
        <v>7.425000000000001</v>
      </c>
      <c r="G57" s="32"/>
      <c r="H57" s="73"/>
    </row>
    <row r="58" spans="1:8" ht="15">
      <c r="A58" s="1"/>
      <c r="B58" s="108" t="s">
        <v>839</v>
      </c>
      <c r="C58" s="102"/>
      <c r="D58" s="109" t="s">
        <v>896</v>
      </c>
      <c r="E58" s="109">
        <f>6.64+5*0.02</f>
        <v>6.739999999999999</v>
      </c>
      <c r="F58" s="73">
        <f t="shared" si="2"/>
        <v>7.414</v>
      </c>
      <c r="G58" s="32"/>
      <c r="H58" s="73"/>
    </row>
    <row r="59" spans="1:8" ht="15">
      <c r="A59" s="1"/>
      <c r="B59" s="108" t="s">
        <v>840</v>
      </c>
      <c r="C59" s="102"/>
      <c r="D59" s="109" t="s">
        <v>896</v>
      </c>
      <c r="E59" s="109">
        <f>6.25+5*0.02</f>
        <v>6.35</v>
      </c>
      <c r="F59" s="73">
        <f t="shared" si="2"/>
        <v>6.985</v>
      </c>
      <c r="G59" s="32"/>
      <c r="H59" s="73"/>
    </row>
    <row r="60" spans="1:8" ht="15">
      <c r="A60" s="1"/>
      <c r="B60" s="108" t="s">
        <v>841</v>
      </c>
      <c r="C60" s="102"/>
      <c r="D60" s="109" t="s">
        <v>896</v>
      </c>
      <c r="E60" s="109">
        <f>6.35+5*0.02</f>
        <v>6.449999999999999</v>
      </c>
      <c r="F60" s="73">
        <f t="shared" si="2"/>
        <v>7.095</v>
      </c>
      <c r="G60" s="32"/>
      <c r="H60" s="73"/>
    </row>
    <row r="61" spans="1:8" ht="15">
      <c r="A61" s="1"/>
      <c r="B61" s="108" t="s">
        <v>842</v>
      </c>
      <c r="C61" s="102"/>
      <c r="D61" s="109" t="s">
        <v>896</v>
      </c>
      <c r="E61" s="109">
        <f>6.45+5*0.02</f>
        <v>6.55</v>
      </c>
      <c r="F61" s="73">
        <f t="shared" si="2"/>
        <v>7.205</v>
      </c>
      <c r="G61" s="32"/>
      <c r="H61" s="73"/>
    </row>
    <row r="62" spans="1:8" ht="15">
      <c r="A62" s="1"/>
      <c r="B62" s="108" t="s">
        <v>843</v>
      </c>
      <c r="C62" s="102"/>
      <c r="D62" s="109" t="s">
        <v>896</v>
      </c>
      <c r="E62" s="109">
        <f>6.5+5*0.02</f>
        <v>6.6</v>
      </c>
      <c r="F62" s="73">
        <f t="shared" si="2"/>
        <v>7.26</v>
      </c>
      <c r="G62" s="32"/>
      <c r="H62" s="73"/>
    </row>
    <row r="63" spans="1:8" ht="15">
      <c r="A63" s="1"/>
      <c r="B63" s="108" t="s">
        <v>844</v>
      </c>
      <c r="C63" s="102"/>
      <c r="D63" s="109" t="s">
        <v>897</v>
      </c>
      <c r="E63" s="109">
        <f>27.68+22*0.02</f>
        <v>28.12</v>
      </c>
      <c r="F63" s="73">
        <f t="shared" si="2"/>
        <v>30.932000000000002</v>
      </c>
      <c r="G63" s="32"/>
      <c r="H63" s="73"/>
    </row>
    <row r="64" spans="1:8" ht="15">
      <c r="A64" s="1" t="s">
        <v>404</v>
      </c>
      <c r="B64" s="71" t="s">
        <v>32</v>
      </c>
      <c r="C64" s="147" t="s">
        <v>758</v>
      </c>
      <c r="D64" s="72">
        <v>1</v>
      </c>
      <c r="E64" s="72">
        <f>3.41+1*0.02</f>
        <v>3.43</v>
      </c>
      <c r="F64" s="73">
        <f t="shared" si="2"/>
        <v>3.7730000000000006</v>
      </c>
      <c r="G64" s="32">
        <v>4.125</v>
      </c>
      <c r="H64" s="73">
        <v>4.8125</v>
      </c>
    </row>
    <row r="65" spans="1:8" ht="15">
      <c r="A65" s="1" t="s">
        <v>405</v>
      </c>
      <c r="B65" s="71" t="s">
        <v>33</v>
      </c>
      <c r="C65" s="147"/>
      <c r="D65" s="72">
        <v>1</v>
      </c>
      <c r="E65" s="72">
        <f>5.16+1*0.02</f>
        <v>5.18</v>
      </c>
      <c r="F65" s="73">
        <f t="shared" si="2"/>
        <v>5.698</v>
      </c>
      <c r="G65" s="32">
        <v>6.015</v>
      </c>
      <c r="H65" s="73">
        <v>7.0175</v>
      </c>
    </row>
    <row r="66" spans="1:8" ht="15">
      <c r="A66" s="1" t="s">
        <v>406</v>
      </c>
      <c r="B66" s="71" t="s">
        <v>34</v>
      </c>
      <c r="C66" s="147" t="s">
        <v>759</v>
      </c>
      <c r="D66" s="72">
        <v>3</v>
      </c>
      <c r="E66" s="109">
        <f>27.9+3*0.02</f>
        <v>27.959999999999997</v>
      </c>
      <c r="F66" s="73">
        <f t="shared" si="2"/>
        <v>30.756</v>
      </c>
      <c r="G66" s="32">
        <v>33.56737176767676</v>
      </c>
      <c r="H66" s="73">
        <v>39.16193372895622</v>
      </c>
    </row>
    <row r="67" spans="1:8" ht="15">
      <c r="A67" s="1" t="s">
        <v>680</v>
      </c>
      <c r="B67" s="71" t="s">
        <v>681</v>
      </c>
      <c r="C67" s="147"/>
      <c r="D67" s="72">
        <v>3</v>
      </c>
      <c r="E67" s="109">
        <f>29.35+3*0.02</f>
        <v>29.41</v>
      </c>
      <c r="F67" s="73">
        <f t="shared" si="2"/>
        <v>32.351000000000006</v>
      </c>
      <c r="G67" s="32">
        <v>35.305072499999994</v>
      </c>
      <c r="H67" s="73">
        <v>41.18925124999999</v>
      </c>
    </row>
    <row r="68" spans="1:8" ht="15">
      <c r="A68" s="1" t="s">
        <v>682</v>
      </c>
      <c r="B68" s="71" t="s">
        <v>683</v>
      </c>
      <c r="C68" s="147"/>
      <c r="D68" s="72">
        <v>3</v>
      </c>
      <c r="E68" s="109">
        <f>29.38+3*0.02</f>
        <v>29.439999999999998</v>
      </c>
      <c r="F68" s="73">
        <f t="shared" si="2"/>
        <v>32.384</v>
      </c>
      <c r="G68" s="32">
        <v>35.33295</v>
      </c>
      <c r="H68" s="73">
        <v>41.221774999999994</v>
      </c>
    </row>
    <row r="69" spans="1:8" ht="15">
      <c r="A69" s="1" t="s">
        <v>684</v>
      </c>
      <c r="B69" s="71" t="s">
        <v>685</v>
      </c>
      <c r="C69" s="147"/>
      <c r="D69" s="72">
        <v>3</v>
      </c>
      <c r="E69" s="109">
        <f>29.11+3*0.02</f>
        <v>29.169999999999998</v>
      </c>
      <c r="F69" s="73">
        <f t="shared" si="2"/>
        <v>32.087</v>
      </c>
      <c r="G69" s="32">
        <v>35.0262975</v>
      </c>
      <c r="H69" s="73">
        <v>40.86401375</v>
      </c>
    </row>
    <row r="70" spans="1:8" ht="15">
      <c r="A70" s="1" t="s">
        <v>407</v>
      </c>
      <c r="B70" s="71" t="s">
        <v>35</v>
      </c>
      <c r="C70" s="147"/>
      <c r="D70" s="72">
        <v>3</v>
      </c>
      <c r="E70" s="109">
        <f>28.03+3*0.02</f>
        <v>28.09</v>
      </c>
      <c r="F70" s="73">
        <f t="shared" si="2"/>
        <v>30.899</v>
      </c>
      <c r="G70" s="32">
        <v>33.71605176767676</v>
      </c>
      <c r="H70" s="73">
        <v>39.33539372895622</v>
      </c>
    </row>
    <row r="71" spans="1:8" ht="15">
      <c r="A71" s="1" t="s">
        <v>686</v>
      </c>
      <c r="B71" s="71" t="s">
        <v>687</v>
      </c>
      <c r="C71" s="147"/>
      <c r="D71" s="72">
        <v>3</v>
      </c>
      <c r="E71" s="109">
        <f>29.3+3*0.02</f>
        <v>29.36</v>
      </c>
      <c r="F71" s="73">
        <f t="shared" si="2"/>
        <v>32.296</v>
      </c>
      <c r="G71" s="32">
        <v>35.249317500000004</v>
      </c>
      <c r="H71" s="73">
        <v>41.12420375000001</v>
      </c>
    </row>
    <row r="72" spans="1:8" ht="15">
      <c r="A72" s="1" t="s">
        <v>688</v>
      </c>
      <c r="B72" s="71" t="s">
        <v>689</v>
      </c>
      <c r="C72" s="147"/>
      <c r="D72" s="72">
        <v>3</v>
      </c>
      <c r="E72" s="109">
        <f>29.26+3*0.02</f>
        <v>29.32</v>
      </c>
      <c r="F72" s="73">
        <f t="shared" si="2"/>
        <v>32.252</v>
      </c>
      <c r="G72" s="32">
        <v>35.2121475</v>
      </c>
      <c r="H72" s="73">
        <v>41.08083875</v>
      </c>
    </row>
    <row r="73" spans="1:8" ht="15">
      <c r="A73" s="1" t="s">
        <v>724</v>
      </c>
      <c r="B73" s="71" t="s">
        <v>708</v>
      </c>
      <c r="C73" s="147"/>
      <c r="D73" s="72">
        <v>3</v>
      </c>
      <c r="E73" s="109">
        <f>29.18+3*0.02</f>
        <v>29.24</v>
      </c>
      <c r="F73" s="73">
        <f t="shared" si="2"/>
        <v>32.164</v>
      </c>
      <c r="G73" s="32">
        <v>35.095221464646464</v>
      </c>
      <c r="H73" s="73">
        <v>40.94442504208754</v>
      </c>
    </row>
    <row r="74" spans="1:8" ht="15">
      <c r="A74" s="1" t="s">
        <v>408</v>
      </c>
      <c r="B74" s="71" t="s">
        <v>36</v>
      </c>
      <c r="C74" s="147"/>
      <c r="D74" s="72">
        <v>3</v>
      </c>
      <c r="E74" s="109">
        <f>28.31+3*0.02</f>
        <v>28.369999999999997</v>
      </c>
      <c r="F74" s="73">
        <f t="shared" si="2"/>
        <v>31.207</v>
      </c>
      <c r="G74" s="32">
        <v>34.06916676767676</v>
      </c>
      <c r="H74" s="73">
        <v>39.74736122895622</v>
      </c>
    </row>
    <row r="75" spans="1:8" ht="15">
      <c r="A75" s="1" t="s">
        <v>725</v>
      </c>
      <c r="B75" s="71" t="s">
        <v>709</v>
      </c>
      <c r="C75" s="147"/>
      <c r="D75" s="72">
        <v>3</v>
      </c>
      <c r="E75" s="109">
        <f>29.29+3*0.02</f>
        <v>29.349999999999998</v>
      </c>
      <c r="F75" s="73">
        <f t="shared" si="2"/>
        <v>32.285000000000004</v>
      </c>
      <c r="G75" s="32">
        <v>35.234608964646455</v>
      </c>
      <c r="H75" s="73">
        <v>41.10704379208753</v>
      </c>
    </row>
    <row r="76" spans="1:8" ht="15">
      <c r="A76" s="1" t="s">
        <v>690</v>
      </c>
      <c r="B76" s="71" t="s">
        <v>691</v>
      </c>
      <c r="C76" s="147"/>
      <c r="D76" s="72">
        <v>3</v>
      </c>
      <c r="E76" s="109">
        <f>29.19+3*0.02</f>
        <v>29.25</v>
      </c>
      <c r="F76" s="73">
        <f t="shared" si="2"/>
        <v>32.175000000000004</v>
      </c>
      <c r="G76" s="32">
        <v>35.10993</v>
      </c>
      <c r="H76" s="73">
        <v>40.96158499999999</v>
      </c>
    </row>
    <row r="77" spans="1:8" ht="15">
      <c r="A77" s="1" t="s">
        <v>692</v>
      </c>
      <c r="B77" s="71" t="s">
        <v>693</v>
      </c>
      <c r="C77" s="147"/>
      <c r="D77" s="72">
        <v>3</v>
      </c>
      <c r="E77" s="109">
        <f>29.16+3*0.02</f>
        <v>29.22</v>
      </c>
      <c r="F77" s="73">
        <f t="shared" si="2"/>
        <v>32.142</v>
      </c>
      <c r="G77" s="32">
        <v>35.09134499999999</v>
      </c>
      <c r="H77" s="73">
        <v>40.93990249999999</v>
      </c>
    </row>
    <row r="78" spans="1:8" ht="15">
      <c r="A78" s="1" t="s">
        <v>409</v>
      </c>
      <c r="B78" s="71" t="s">
        <v>37</v>
      </c>
      <c r="C78" s="147"/>
      <c r="D78" s="72">
        <v>3</v>
      </c>
      <c r="E78" s="109">
        <f>29.29+3*0.02</f>
        <v>29.349999999999998</v>
      </c>
      <c r="F78" s="73">
        <f t="shared" si="2"/>
        <v>32.285000000000004</v>
      </c>
      <c r="G78" s="32">
        <v>35.24002176767677</v>
      </c>
      <c r="H78" s="73">
        <v>41.11335872895623</v>
      </c>
    </row>
    <row r="79" spans="1:8" ht="15">
      <c r="A79" s="1" t="s">
        <v>694</v>
      </c>
      <c r="B79" s="71" t="s">
        <v>695</v>
      </c>
      <c r="C79" s="147"/>
      <c r="D79" s="72">
        <v>3</v>
      </c>
      <c r="E79" s="109">
        <f>29.26+3*0.02</f>
        <v>29.32</v>
      </c>
      <c r="F79" s="73">
        <f t="shared" si="2"/>
        <v>32.252</v>
      </c>
      <c r="G79" s="32">
        <v>35.2121475</v>
      </c>
      <c r="H79" s="73">
        <v>41.08083875</v>
      </c>
    </row>
    <row r="80" spans="1:8" ht="15">
      <c r="A80" s="1" t="s">
        <v>726</v>
      </c>
      <c r="B80" s="71" t="s">
        <v>710</v>
      </c>
      <c r="C80" s="147"/>
      <c r="D80" s="72">
        <v>3</v>
      </c>
      <c r="E80" s="109">
        <f>29.55+3*0.03</f>
        <v>29.64</v>
      </c>
      <c r="F80" s="73">
        <f t="shared" si="2"/>
        <v>32.604000000000006</v>
      </c>
      <c r="G80" s="32">
        <v>35.55</v>
      </c>
      <c r="H80" s="73">
        <v>41.475</v>
      </c>
    </row>
    <row r="81" spans="1:8" ht="15">
      <c r="A81" s="1" t="s">
        <v>727</v>
      </c>
      <c r="B81" s="71" t="s">
        <v>711</v>
      </c>
      <c r="C81" s="147"/>
      <c r="D81" s="72">
        <v>3</v>
      </c>
      <c r="E81" s="109">
        <f>31.09+3*0.02</f>
        <v>31.15</v>
      </c>
      <c r="F81" s="73">
        <f t="shared" si="2"/>
        <v>34.265</v>
      </c>
      <c r="G81" s="32">
        <v>37.395</v>
      </c>
      <c r="H81" s="73">
        <v>43.6275</v>
      </c>
    </row>
    <row r="82" spans="1:8" ht="15">
      <c r="A82" s="1" t="s">
        <v>728</v>
      </c>
      <c r="B82" s="71" t="s">
        <v>712</v>
      </c>
      <c r="C82" s="147"/>
      <c r="D82" s="72">
        <v>3</v>
      </c>
      <c r="E82" s="109">
        <f>29.74+3*0.02</f>
        <v>29.799999999999997</v>
      </c>
      <c r="F82" s="73">
        <f t="shared" si="2"/>
        <v>32.78</v>
      </c>
      <c r="G82" s="32">
        <v>35.775</v>
      </c>
      <c r="H82" s="73">
        <v>41.7375</v>
      </c>
    </row>
    <row r="83" spans="1:8" ht="15">
      <c r="A83" s="1" t="s">
        <v>696</v>
      </c>
      <c r="B83" s="71" t="s">
        <v>697</v>
      </c>
      <c r="C83" s="147"/>
      <c r="D83" s="72">
        <v>3</v>
      </c>
      <c r="E83" s="109">
        <f>29.23+3*0.02</f>
        <v>29.29</v>
      </c>
      <c r="F83" s="73">
        <f t="shared" si="2"/>
        <v>32.219</v>
      </c>
      <c r="G83" s="32">
        <v>35.1563925</v>
      </c>
      <c r="H83" s="73">
        <v>41.01579125</v>
      </c>
    </row>
    <row r="84" spans="1:8" ht="15">
      <c r="A84" s="1" t="s">
        <v>729</v>
      </c>
      <c r="B84" s="71" t="s">
        <v>713</v>
      </c>
      <c r="C84" s="147"/>
      <c r="D84" s="72">
        <v>3</v>
      </c>
      <c r="E84" s="109">
        <f>29.51+3*0.02</f>
        <v>29.57</v>
      </c>
      <c r="F84" s="73">
        <f t="shared" si="2"/>
        <v>32.527</v>
      </c>
      <c r="G84" s="32">
        <v>35.505</v>
      </c>
      <c r="H84" s="73">
        <v>41.4225</v>
      </c>
    </row>
    <row r="85" spans="1:8" ht="15">
      <c r="A85" s="1" t="s">
        <v>730</v>
      </c>
      <c r="B85" s="71" t="s">
        <v>714</v>
      </c>
      <c r="C85" s="147"/>
      <c r="D85" s="72">
        <v>3</v>
      </c>
      <c r="E85" s="109">
        <f>29.63+3*0.02</f>
        <v>29.689999999999998</v>
      </c>
      <c r="F85" s="73">
        <f t="shared" si="2"/>
        <v>32.659</v>
      </c>
      <c r="G85" s="32">
        <v>35.64</v>
      </c>
      <c r="H85" s="73">
        <v>41.58</v>
      </c>
    </row>
    <row r="86" spans="1:8" ht="15">
      <c r="A86" s="1" t="s">
        <v>731</v>
      </c>
      <c r="B86" s="71" t="s">
        <v>715</v>
      </c>
      <c r="C86" s="147"/>
      <c r="D86" s="72">
        <v>3</v>
      </c>
      <c r="E86" s="109">
        <f>29.55+3*0.02</f>
        <v>29.61</v>
      </c>
      <c r="F86" s="73">
        <f t="shared" si="2"/>
        <v>32.571000000000005</v>
      </c>
      <c r="G86" s="32">
        <v>35.55</v>
      </c>
      <c r="H86" s="73">
        <v>41.475</v>
      </c>
    </row>
    <row r="87" spans="1:8" ht="15">
      <c r="A87" s="1" t="s">
        <v>698</v>
      </c>
      <c r="B87" s="71" t="s">
        <v>699</v>
      </c>
      <c r="C87" s="147"/>
      <c r="D87" s="72">
        <v>3</v>
      </c>
      <c r="E87" s="109">
        <f>29.18+3*0.02</f>
        <v>29.24</v>
      </c>
      <c r="F87" s="73">
        <f t="shared" si="2"/>
        <v>32.164</v>
      </c>
      <c r="G87" s="32">
        <v>35.1006375</v>
      </c>
      <c r="H87" s="73">
        <v>40.950743749999994</v>
      </c>
    </row>
    <row r="88" spans="1:8" ht="15">
      <c r="A88" s="1" t="s">
        <v>410</v>
      </c>
      <c r="B88" s="71" t="s">
        <v>38</v>
      </c>
      <c r="C88" s="147"/>
      <c r="D88" s="72">
        <v>3</v>
      </c>
      <c r="E88" s="109">
        <f>29.49+3*0.02</f>
        <v>29.549999999999997</v>
      </c>
      <c r="F88" s="73">
        <f t="shared" si="2"/>
        <v>32.505</v>
      </c>
      <c r="G88" s="32">
        <v>35.472334267676764</v>
      </c>
      <c r="H88" s="73">
        <v>41.38438997895622</v>
      </c>
    </row>
    <row r="89" spans="1:8" ht="15">
      <c r="A89" s="1" t="s">
        <v>700</v>
      </c>
      <c r="B89" s="71" t="s">
        <v>701</v>
      </c>
      <c r="C89" s="147"/>
      <c r="D89" s="72">
        <v>3</v>
      </c>
      <c r="E89" s="109">
        <f>28.05+3*0.02</f>
        <v>28.11</v>
      </c>
      <c r="F89" s="73">
        <f t="shared" si="2"/>
        <v>30.921000000000003</v>
      </c>
      <c r="G89" s="32">
        <v>33.74393250000001</v>
      </c>
      <c r="H89" s="73">
        <v>39.36792125</v>
      </c>
    </row>
    <row r="90" spans="1:8" ht="15">
      <c r="A90" s="1" t="s">
        <v>732</v>
      </c>
      <c r="B90" s="71" t="s">
        <v>716</v>
      </c>
      <c r="C90" s="147"/>
      <c r="D90" s="72">
        <v>3</v>
      </c>
      <c r="E90" s="109">
        <f>29.59+3*0.02</f>
        <v>29.65</v>
      </c>
      <c r="F90" s="73">
        <f t="shared" si="2"/>
        <v>32.615</v>
      </c>
      <c r="G90" s="32">
        <v>35.595</v>
      </c>
      <c r="H90" s="73">
        <v>41.5275</v>
      </c>
    </row>
    <row r="91" spans="1:8" ht="15">
      <c r="A91" s="1" t="s">
        <v>733</v>
      </c>
      <c r="B91" s="71" t="s">
        <v>717</v>
      </c>
      <c r="C91" s="147"/>
      <c r="D91" s="72">
        <v>3</v>
      </c>
      <c r="E91" s="109">
        <f>29.44+3*0.02</f>
        <v>29.5</v>
      </c>
      <c r="F91" s="73">
        <f t="shared" si="2"/>
        <v>32.45</v>
      </c>
      <c r="G91" s="32">
        <v>35.415</v>
      </c>
      <c r="H91" s="73">
        <v>41.3175</v>
      </c>
    </row>
    <row r="92" spans="1:8" ht="15">
      <c r="A92" s="1" t="s">
        <v>702</v>
      </c>
      <c r="B92" s="71" t="s">
        <v>703</v>
      </c>
      <c r="C92" s="147"/>
      <c r="D92" s="72">
        <v>3</v>
      </c>
      <c r="E92" s="109">
        <f>28.44+3*0.02</f>
        <v>28.5</v>
      </c>
      <c r="F92" s="73">
        <f t="shared" si="2"/>
        <v>31.35</v>
      </c>
      <c r="G92" s="32">
        <v>34.2085575</v>
      </c>
      <c r="H92" s="73">
        <v>39.909983749999995</v>
      </c>
    </row>
    <row r="93" spans="1:8" ht="15">
      <c r="A93" s="1" t="s">
        <v>704</v>
      </c>
      <c r="B93" s="71" t="s">
        <v>705</v>
      </c>
      <c r="C93" s="147"/>
      <c r="D93" s="72">
        <v>3</v>
      </c>
      <c r="E93" s="109">
        <f>28.18+3*0.02</f>
        <v>28.24</v>
      </c>
      <c r="F93" s="73">
        <f t="shared" si="2"/>
        <v>31.064</v>
      </c>
      <c r="G93" s="32">
        <v>33.901905</v>
      </c>
      <c r="H93" s="73">
        <v>39.5522225</v>
      </c>
    </row>
    <row r="94" spans="1:8" ht="15">
      <c r="A94" s="1" t="s">
        <v>734</v>
      </c>
      <c r="B94" s="71" t="s">
        <v>718</v>
      </c>
      <c r="C94" s="147"/>
      <c r="D94" s="72">
        <v>3</v>
      </c>
      <c r="E94" s="109">
        <f>28.01+3*0.02</f>
        <v>28.07</v>
      </c>
      <c r="F94" s="73">
        <f t="shared" si="2"/>
        <v>30.877000000000002</v>
      </c>
      <c r="G94" s="32">
        <v>33.71063896464646</v>
      </c>
      <c r="H94" s="73">
        <v>39.32907879208754</v>
      </c>
    </row>
    <row r="95" spans="1:8" ht="15">
      <c r="A95" s="1" t="s">
        <v>411</v>
      </c>
      <c r="B95" s="71" t="s">
        <v>39</v>
      </c>
      <c r="C95" s="147"/>
      <c r="D95" s="72">
        <v>3</v>
      </c>
      <c r="E95" s="109">
        <f>30.65+3*0.02</f>
        <v>30.709999999999997</v>
      </c>
      <c r="F95" s="73">
        <f t="shared" si="2"/>
        <v>33.781</v>
      </c>
      <c r="G95" s="32">
        <v>36.87550176767677</v>
      </c>
      <c r="H95" s="73">
        <v>43.02141872895623</v>
      </c>
    </row>
    <row r="96" spans="1:8" ht="15">
      <c r="A96" s="1" t="s">
        <v>412</v>
      </c>
      <c r="B96" s="71" t="s">
        <v>40</v>
      </c>
      <c r="C96" s="147"/>
      <c r="D96" s="72">
        <v>3</v>
      </c>
      <c r="E96" s="109">
        <f>29.99+3*0.02</f>
        <v>30.049999999999997</v>
      </c>
      <c r="F96" s="73">
        <f t="shared" si="2"/>
        <v>33.055</v>
      </c>
      <c r="G96" s="32">
        <v>36.07634676767677</v>
      </c>
      <c r="H96" s="73">
        <v>42.08907122895623</v>
      </c>
    </row>
    <row r="97" spans="1:8" ht="15">
      <c r="A97" s="1" t="s">
        <v>413</v>
      </c>
      <c r="B97" s="71" t="s">
        <v>41</v>
      </c>
      <c r="C97" s="147"/>
      <c r="D97" s="72">
        <v>3</v>
      </c>
      <c r="E97" s="109">
        <f>28.15+0.02*3</f>
        <v>28.209999999999997</v>
      </c>
      <c r="F97" s="73">
        <f t="shared" si="2"/>
        <v>31.031</v>
      </c>
      <c r="G97" s="32">
        <v>33.87402426767677</v>
      </c>
      <c r="H97" s="73">
        <v>39.51969497895624</v>
      </c>
    </row>
    <row r="98" spans="1:8" ht="15">
      <c r="A98" s="1" t="s">
        <v>706</v>
      </c>
      <c r="B98" s="71" t="s">
        <v>707</v>
      </c>
      <c r="C98" s="147"/>
      <c r="D98" s="72">
        <v>3</v>
      </c>
      <c r="E98" s="109">
        <f>28+3*0.02</f>
        <v>28.06</v>
      </c>
      <c r="F98" s="73">
        <f t="shared" si="2"/>
        <v>30.866</v>
      </c>
      <c r="G98" s="32">
        <v>33.697469999999996</v>
      </c>
      <c r="H98" s="73">
        <v>39.313714999999995</v>
      </c>
    </row>
    <row r="99" spans="1:8" ht="15">
      <c r="A99" s="1"/>
      <c r="B99" s="108" t="s">
        <v>898</v>
      </c>
      <c r="C99" s="109"/>
      <c r="D99" s="111">
        <v>5</v>
      </c>
      <c r="E99" s="109">
        <f>32.41+5*0.02</f>
        <v>32.51</v>
      </c>
      <c r="F99" s="73">
        <f t="shared" si="2"/>
        <v>35.761</v>
      </c>
      <c r="G99" s="32"/>
      <c r="H99" s="73"/>
    </row>
    <row r="100" spans="1:8" ht="15">
      <c r="A100" s="1" t="s">
        <v>414</v>
      </c>
      <c r="B100" s="71" t="s">
        <v>42</v>
      </c>
      <c r="C100" s="147" t="s">
        <v>760</v>
      </c>
      <c r="D100" s="72">
        <v>10</v>
      </c>
      <c r="E100" s="72">
        <v>64.5632922979798</v>
      </c>
      <c r="F100" s="73">
        <f t="shared" si="2"/>
        <v>71.01962152777779</v>
      </c>
      <c r="G100" s="32">
        <v>77.47595075757576</v>
      </c>
      <c r="H100" s="73">
        <v>90.38860921717172</v>
      </c>
    </row>
    <row r="101" spans="1:8" ht="15">
      <c r="A101" s="1" t="s">
        <v>415</v>
      </c>
      <c r="B101" s="71" t="s">
        <v>43</v>
      </c>
      <c r="C101" s="147"/>
      <c r="D101" s="72">
        <v>2</v>
      </c>
      <c r="E101" s="72">
        <v>16.886961279461282</v>
      </c>
      <c r="F101" s="73">
        <f t="shared" si="2"/>
        <v>18.575657407407412</v>
      </c>
      <c r="G101" s="32">
        <v>20.26435353535354</v>
      </c>
      <c r="H101" s="73">
        <v>23.641745791245793</v>
      </c>
    </row>
    <row r="102" spans="1:8" ht="15">
      <c r="A102" s="1" t="s">
        <v>416</v>
      </c>
      <c r="B102" s="71" t="s">
        <v>44</v>
      </c>
      <c r="C102" s="147"/>
      <c r="D102" s="72">
        <v>5</v>
      </c>
      <c r="E102" s="72">
        <v>31.249734848484856</v>
      </c>
      <c r="F102" s="73">
        <f t="shared" si="2"/>
        <v>34.374708333333345</v>
      </c>
      <c r="G102" s="32">
        <v>37.49968181818183</v>
      </c>
      <c r="H102" s="73">
        <v>43.7496287878788</v>
      </c>
    </row>
    <row r="103" spans="1:8" ht="15">
      <c r="A103" s="1" t="s">
        <v>417</v>
      </c>
      <c r="B103" s="71" t="s">
        <v>45</v>
      </c>
      <c r="C103" s="147"/>
      <c r="D103" s="72">
        <v>10</v>
      </c>
      <c r="E103" s="72">
        <v>58.937572601010096</v>
      </c>
      <c r="F103" s="73">
        <f t="shared" si="2"/>
        <v>64.83132986111112</v>
      </c>
      <c r="G103" s="32">
        <v>70.72508712121211</v>
      </c>
      <c r="H103" s="73">
        <v>82.51260164141414</v>
      </c>
    </row>
    <row r="104" spans="1:8" ht="15">
      <c r="A104" s="1" t="s">
        <v>418</v>
      </c>
      <c r="B104" s="71" t="s">
        <v>46</v>
      </c>
      <c r="C104" s="147"/>
      <c r="D104" s="72">
        <v>2</v>
      </c>
      <c r="E104" s="72">
        <v>15.803269360269363</v>
      </c>
      <c r="F104" s="73">
        <f t="shared" si="2"/>
        <v>17.3835962962963</v>
      </c>
      <c r="G104" s="32">
        <v>18.963923232323236</v>
      </c>
      <c r="H104" s="73">
        <v>22.124577104377106</v>
      </c>
    </row>
    <row r="105" spans="1:8" ht="15">
      <c r="A105" s="1" t="s">
        <v>419</v>
      </c>
      <c r="B105" s="71" t="s">
        <v>47</v>
      </c>
      <c r="C105" s="147"/>
      <c r="D105" s="72">
        <v>5</v>
      </c>
      <c r="E105" s="72">
        <v>33.442405303030306</v>
      </c>
      <c r="F105" s="73">
        <f t="shared" si="2"/>
        <v>36.78664583333334</v>
      </c>
      <c r="G105" s="32">
        <v>40.130886363636364</v>
      </c>
      <c r="H105" s="73">
        <v>46.81936742424242</v>
      </c>
    </row>
    <row r="106" spans="1:8" ht="15">
      <c r="A106" s="1" t="s">
        <v>420</v>
      </c>
      <c r="B106" s="71" t="s">
        <v>48</v>
      </c>
      <c r="C106" s="147"/>
      <c r="D106" s="72">
        <v>10</v>
      </c>
      <c r="E106" s="72">
        <v>63.32954229797979</v>
      </c>
      <c r="F106" s="73">
        <f t="shared" si="2"/>
        <v>69.66249652777778</v>
      </c>
      <c r="G106" s="32">
        <v>75.99545075757575</v>
      </c>
      <c r="H106" s="73">
        <v>88.66135921717171</v>
      </c>
    </row>
    <row r="107" spans="1:8" ht="15">
      <c r="A107" s="1" t="s">
        <v>421</v>
      </c>
      <c r="B107" s="71" t="s">
        <v>49</v>
      </c>
      <c r="C107" s="147"/>
      <c r="D107" s="72">
        <v>2</v>
      </c>
      <c r="E107" s="72">
        <v>16.671711279461277</v>
      </c>
      <c r="F107" s="73">
        <f t="shared" si="2"/>
        <v>18.338882407407407</v>
      </c>
      <c r="G107" s="32">
        <v>20.006053535353534</v>
      </c>
      <c r="H107" s="73">
        <v>23.340395791245786</v>
      </c>
    </row>
    <row r="108" spans="1:8" ht="15">
      <c r="A108" s="1" t="s">
        <v>422</v>
      </c>
      <c r="B108" s="71" t="s">
        <v>50</v>
      </c>
      <c r="C108" s="147"/>
      <c r="D108" s="72">
        <v>5</v>
      </c>
      <c r="E108" s="72">
        <v>31.328484848484848</v>
      </c>
      <c r="F108" s="73">
        <f t="shared" si="2"/>
        <v>34.461333333333336</v>
      </c>
      <c r="G108" s="32">
        <v>37.594181818181816</v>
      </c>
      <c r="H108" s="73">
        <v>43.859878787878785</v>
      </c>
    </row>
    <row r="109" spans="1:8" ht="15">
      <c r="A109" s="1" t="s">
        <v>423</v>
      </c>
      <c r="B109" s="71" t="s">
        <v>51</v>
      </c>
      <c r="C109" s="147"/>
      <c r="D109" s="72">
        <v>10</v>
      </c>
      <c r="E109" s="72">
        <v>59.0688226010101</v>
      </c>
      <c r="F109" s="73">
        <f t="shared" si="2"/>
        <v>64.97570486111111</v>
      </c>
      <c r="G109" s="32">
        <v>70.88258712121211</v>
      </c>
      <c r="H109" s="73">
        <v>82.69635164141413</v>
      </c>
    </row>
    <row r="110" spans="1:8" ht="15">
      <c r="A110" s="1" t="s">
        <v>424</v>
      </c>
      <c r="B110" s="71" t="s">
        <v>52</v>
      </c>
      <c r="C110" s="147"/>
      <c r="D110" s="72">
        <v>2</v>
      </c>
      <c r="E110" s="72">
        <v>15.829519360269362</v>
      </c>
      <c r="F110" s="73">
        <f t="shared" si="2"/>
        <v>17.4124712962963</v>
      </c>
      <c r="G110" s="32">
        <v>18.995423232323233</v>
      </c>
      <c r="H110" s="73">
        <v>22.161327104377104</v>
      </c>
    </row>
    <row r="111" spans="1:8" ht="15">
      <c r="A111" s="1" t="s">
        <v>425</v>
      </c>
      <c r="B111" s="71" t="s">
        <v>53</v>
      </c>
      <c r="C111" s="147"/>
      <c r="D111" s="72">
        <v>5</v>
      </c>
      <c r="E111" s="72">
        <v>30.672234848484855</v>
      </c>
      <c r="F111" s="73">
        <f t="shared" si="2"/>
        <v>33.739458333333346</v>
      </c>
      <c r="G111" s="32">
        <v>36.80668181818182</v>
      </c>
      <c r="H111" s="73">
        <v>42.941128787878796</v>
      </c>
    </row>
    <row r="112" spans="1:8" ht="15">
      <c r="A112" s="1" t="s">
        <v>426</v>
      </c>
      <c r="B112" s="71" t="s">
        <v>54</v>
      </c>
      <c r="C112" s="147"/>
      <c r="D112" s="72">
        <v>10</v>
      </c>
      <c r="E112" s="72">
        <v>57.782572601010095</v>
      </c>
      <c r="F112" s="73">
        <f t="shared" si="2"/>
        <v>63.56082986111111</v>
      </c>
      <c r="G112" s="32">
        <v>69.33908712121212</v>
      </c>
      <c r="H112" s="73">
        <v>80.89560164141413</v>
      </c>
    </row>
    <row r="113" spans="1:8" ht="15">
      <c r="A113" s="1" t="s">
        <v>427</v>
      </c>
      <c r="B113" s="71" t="s">
        <v>55</v>
      </c>
      <c r="C113" s="147"/>
      <c r="D113" s="72">
        <v>2</v>
      </c>
      <c r="E113" s="72">
        <v>15.572269360269361</v>
      </c>
      <c r="F113" s="73">
        <f t="shared" si="2"/>
        <v>17.1294962962963</v>
      </c>
      <c r="G113" s="32">
        <v>18.68672323232323</v>
      </c>
      <c r="H113" s="73">
        <v>21.801177104377103</v>
      </c>
    </row>
    <row r="114" spans="1:8" ht="15">
      <c r="A114" s="1" t="s">
        <v>428</v>
      </c>
      <c r="B114" s="71" t="s">
        <v>56</v>
      </c>
      <c r="C114" s="147"/>
      <c r="D114" s="72">
        <v>5</v>
      </c>
      <c r="E114" s="72">
        <v>30.59348484848484</v>
      </c>
      <c r="F114" s="73">
        <f t="shared" si="2"/>
        <v>33.65283333333333</v>
      </c>
      <c r="G114" s="32">
        <v>36.71218181818181</v>
      </c>
      <c r="H114" s="73">
        <v>42.830878787878774</v>
      </c>
    </row>
    <row r="115" spans="1:8" ht="15">
      <c r="A115" s="1" t="s">
        <v>429</v>
      </c>
      <c r="B115" s="71" t="s">
        <v>57</v>
      </c>
      <c r="C115" s="147"/>
      <c r="D115" s="72">
        <v>10</v>
      </c>
      <c r="E115" s="72">
        <v>57.5988226010101</v>
      </c>
      <c r="F115" s="73">
        <f t="shared" si="2"/>
        <v>63.358704861111114</v>
      </c>
      <c r="G115" s="32">
        <v>69.11858712121212</v>
      </c>
      <c r="H115" s="73">
        <v>80.63835164141413</v>
      </c>
    </row>
    <row r="116" spans="1:8" ht="15">
      <c r="A116" s="1" t="s">
        <v>430</v>
      </c>
      <c r="B116" s="71" t="s">
        <v>58</v>
      </c>
      <c r="C116" s="147"/>
      <c r="D116" s="72">
        <v>2</v>
      </c>
      <c r="E116" s="72">
        <v>15.53551936026936</v>
      </c>
      <c r="F116" s="73">
        <f t="shared" si="2"/>
        <v>17.089071296296297</v>
      </c>
      <c r="G116" s="32">
        <v>18.64262323232323</v>
      </c>
      <c r="H116" s="73">
        <v>21.749727104377104</v>
      </c>
    </row>
    <row r="117" spans="1:8" ht="15">
      <c r="A117" s="1" t="s">
        <v>431</v>
      </c>
      <c r="B117" s="71" t="s">
        <v>59</v>
      </c>
      <c r="C117" s="147"/>
      <c r="D117" s="72">
        <v>5</v>
      </c>
      <c r="E117" s="72">
        <v>30.777234848484852</v>
      </c>
      <c r="F117" s="73">
        <f t="shared" si="2"/>
        <v>33.85495833333334</v>
      </c>
      <c r="G117" s="32">
        <v>36.93268181818182</v>
      </c>
      <c r="H117" s="73">
        <v>43.08812878787879</v>
      </c>
    </row>
    <row r="118" spans="1:8" ht="15">
      <c r="A118" s="1" t="s">
        <v>432</v>
      </c>
      <c r="B118" s="71" t="s">
        <v>60</v>
      </c>
      <c r="C118" s="147"/>
      <c r="D118" s="72">
        <v>10</v>
      </c>
      <c r="E118" s="72">
        <v>57.992572601010096</v>
      </c>
      <c r="F118" s="73">
        <f t="shared" si="2"/>
        <v>63.79182986111111</v>
      </c>
      <c r="G118" s="32">
        <v>69.59108712121211</v>
      </c>
      <c r="H118" s="73">
        <v>81.18960164141413</v>
      </c>
    </row>
    <row r="119" spans="1:8" ht="15">
      <c r="A119" s="1" t="s">
        <v>433</v>
      </c>
      <c r="B119" s="71" t="s">
        <v>61</v>
      </c>
      <c r="C119" s="147"/>
      <c r="D119" s="72">
        <v>2</v>
      </c>
      <c r="E119" s="72">
        <v>15.614269360269361</v>
      </c>
      <c r="F119" s="73">
        <f t="shared" si="2"/>
        <v>17.175696296296298</v>
      </c>
      <c r="G119" s="32">
        <v>18.73712323232323</v>
      </c>
      <c r="H119" s="73">
        <v>21.859977104377105</v>
      </c>
    </row>
    <row r="120" spans="1:8" ht="15">
      <c r="A120" s="1" t="s">
        <v>434</v>
      </c>
      <c r="B120" s="71" t="s">
        <v>62</v>
      </c>
      <c r="C120" s="147"/>
      <c r="D120" s="72">
        <v>5</v>
      </c>
      <c r="E120" s="72">
        <v>34.17740530303031</v>
      </c>
      <c r="F120" s="73">
        <f t="shared" si="2"/>
        <v>37.59514583333335</v>
      </c>
      <c r="G120" s="32">
        <v>41.012886363636376</v>
      </c>
      <c r="H120" s="73">
        <v>47.84836742424243</v>
      </c>
    </row>
    <row r="121" spans="1:8" ht="15">
      <c r="A121" s="1" t="s">
        <v>435</v>
      </c>
      <c r="B121" s="71" t="s">
        <v>63</v>
      </c>
      <c r="C121" s="147"/>
      <c r="D121" s="72">
        <v>10</v>
      </c>
      <c r="E121" s="72">
        <v>64.7995422979798</v>
      </c>
      <c r="F121" s="73">
        <f t="shared" si="2"/>
        <v>71.27949652777778</v>
      </c>
      <c r="G121" s="32">
        <v>77.75945075757575</v>
      </c>
      <c r="H121" s="73">
        <v>90.71935921717171</v>
      </c>
    </row>
    <row r="122" spans="1:8" ht="15">
      <c r="A122" s="1" t="s">
        <v>436</v>
      </c>
      <c r="B122" s="71" t="s">
        <v>64</v>
      </c>
      <c r="C122" s="147"/>
      <c r="D122" s="72">
        <v>2</v>
      </c>
      <c r="E122" s="72">
        <v>16.96571127946128</v>
      </c>
      <c r="F122" s="73">
        <f t="shared" si="2"/>
        <v>18.66228240740741</v>
      </c>
      <c r="G122" s="32">
        <v>20.358853535353536</v>
      </c>
      <c r="H122" s="73">
        <v>23.751995791245793</v>
      </c>
    </row>
    <row r="123" spans="1:8" ht="15">
      <c r="A123" s="1" t="s">
        <v>437</v>
      </c>
      <c r="B123" s="71" t="s">
        <v>65</v>
      </c>
      <c r="C123" s="147"/>
      <c r="D123" s="72">
        <v>5</v>
      </c>
      <c r="E123" s="72">
        <v>34.20365530303031</v>
      </c>
      <c r="F123" s="73">
        <f t="shared" si="2"/>
        <v>37.62402083333335</v>
      </c>
      <c r="G123" s="32">
        <v>41.04438636363637</v>
      </c>
      <c r="H123" s="73">
        <v>47.88511742424243</v>
      </c>
    </row>
    <row r="124" spans="1:8" ht="15">
      <c r="A124" s="1" t="s">
        <v>438</v>
      </c>
      <c r="B124" s="71" t="s">
        <v>66</v>
      </c>
      <c r="C124" s="147"/>
      <c r="D124" s="72">
        <v>10</v>
      </c>
      <c r="E124" s="72">
        <v>64.8520422979798</v>
      </c>
      <c r="F124" s="73">
        <f t="shared" si="2"/>
        <v>71.3372465277778</v>
      </c>
      <c r="G124" s="32">
        <v>77.82245075757577</v>
      </c>
      <c r="H124" s="73">
        <v>90.79285921717172</v>
      </c>
    </row>
    <row r="125" spans="1:8" ht="15">
      <c r="A125" s="1" t="s">
        <v>439</v>
      </c>
      <c r="B125" s="71" t="s">
        <v>67</v>
      </c>
      <c r="C125" s="147"/>
      <c r="D125" s="72">
        <v>2</v>
      </c>
      <c r="E125" s="72">
        <v>16.97621127946128</v>
      </c>
      <c r="F125" s="73">
        <f t="shared" si="2"/>
        <v>18.673832407407406</v>
      </c>
      <c r="G125" s="32">
        <v>20.371453535353535</v>
      </c>
      <c r="H125" s="73">
        <v>23.766695791245787</v>
      </c>
    </row>
    <row r="126" spans="1:8" ht="15">
      <c r="A126" s="1" t="s">
        <v>440</v>
      </c>
      <c r="B126" s="71" t="s">
        <v>68</v>
      </c>
      <c r="C126" s="147"/>
      <c r="D126" s="72">
        <v>5</v>
      </c>
      <c r="E126" s="72">
        <v>32.496609848484844</v>
      </c>
      <c r="F126" s="73">
        <f aca="true" t="shared" si="3" ref="F126:F204">E126*1.1</f>
        <v>35.746270833333334</v>
      </c>
      <c r="G126" s="32">
        <v>38.99593181818181</v>
      </c>
      <c r="H126" s="73">
        <v>45.49525378787878</v>
      </c>
    </row>
    <row r="127" spans="1:8" ht="15">
      <c r="A127" s="1" t="s">
        <v>441</v>
      </c>
      <c r="B127" s="71" t="s">
        <v>69</v>
      </c>
      <c r="C127" s="147"/>
      <c r="D127" s="72">
        <v>10</v>
      </c>
      <c r="E127" s="72">
        <v>61.43132260101008</v>
      </c>
      <c r="F127" s="73">
        <f t="shared" si="3"/>
        <v>67.5744548611111</v>
      </c>
      <c r="G127" s="32">
        <v>73.71758712121209</v>
      </c>
      <c r="H127" s="73">
        <v>86.0038516414141</v>
      </c>
    </row>
    <row r="128" spans="1:8" ht="15">
      <c r="A128" s="1" t="s">
        <v>442</v>
      </c>
      <c r="B128" s="71" t="s">
        <v>70</v>
      </c>
      <c r="C128" s="147"/>
      <c r="D128" s="72">
        <v>2</v>
      </c>
      <c r="E128" s="72">
        <v>16.302019360269362</v>
      </c>
      <c r="F128" s="73">
        <f t="shared" si="3"/>
        <v>17.9322212962963</v>
      </c>
      <c r="G128" s="32">
        <v>19.562423232323233</v>
      </c>
      <c r="H128" s="73">
        <v>22.822827104377104</v>
      </c>
    </row>
    <row r="129" spans="1:8" ht="15">
      <c r="A129" s="1" t="s">
        <v>443</v>
      </c>
      <c r="B129" s="71" t="s">
        <v>71</v>
      </c>
      <c r="C129" s="147"/>
      <c r="D129" s="72">
        <v>5</v>
      </c>
      <c r="E129" s="72">
        <v>34.583484848484844</v>
      </c>
      <c r="F129" s="73">
        <f t="shared" si="3"/>
        <v>38.04183333333333</v>
      </c>
      <c r="G129" s="32">
        <v>41.50018181818181</v>
      </c>
      <c r="H129" s="73">
        <v>48.41687878787878</v>
      </c>
    </row>
    <row r="130" spans="1:8" ht="15">
      <c r="A130" s="1" t="s">
        <v>444</v>
      </c>
      <c r="B130" s="71" t="s">
        <v>72</v>
      </c>
      <c r="C130" s="147"/>
      <c r="D130" s="72">
        <v>10</v>
      </c>
      <c r="E130" s="72">
        <v>65.5788226010101</v>
      </c>
      <c r="F130" s="73">
        <f t="shared" si="3"/>
        <v>72.13670486111111</v>
      </c>
      <c r="G130" s="32">
        <v>78.69458712121212</v>
      </c>
      <c r="H130" s="73">
        <v>91.81035164141414</v>
      </c>
    </row>
    <row r="131" spans="1:8" ht="15">
      <c r="A131" s="1" t="s">
        <v>445</v>
      </c>
      <c r="B131" s="71" t="s">
        <v>73</v>
      </c>
      <c r="C131" s="147"/>
      <c r="D131" s="72">
        <v>2</v>
      </c>
      <c r="E131" s="72">
        <v>17.131519360269362</v>
      </c>
      <c r="F131" s="73">
        <f t="shared" si="3"/>
        <v>18.8446712962963</v>
      </c>
      <c r="G131" s="32">
        <v>20.557823232323233</v>
      </c>
      <c r="H131" s="73">
        <v>23.984127104377105</v>
      </c>
    </row>
    <row r="132" spans="1:8" ht="15">
      <c r="A132" s="1" t="s">
        <v>446</v>
      </c>
      <c r="B132" s="71" t="s">
        <v>74</v>
      </c>
      <c r="C132" s="147"/>
      <c r="D132" s="72">
        <v>5</v>
      </c>
      <c r="E132" s="72">
        <v>32.312859848484855</v>
      </c>
      <c r="F132" s="73">
        <f t="shared" si="3"/>
        <v>35.544145833333346</v>
      </c>
      <c r="G132" s="32">
        <v>38.77543181818182</v>
      </c>
      <c r="H132" s="73">
        <v>45.238003787878796</v>
      </c>
    </row>
    <row r="133" spans="1:8" ht="15">
      <c r="A133" s="1" t="s">
        <v>447</v>
      </c>
      <c r="B133" s="71" t="s">
        <v>75</v>
      </c>
      <c r="C133" s="147"/>
      <c r="D133" s="72">
        <v>10</v>
      </c>
      <c r="E133" s="72">
        <v>61.0638226010101</v>
      </c>
      <c r="F133" s="73">
        <f t="shared" si="3"/>
        <v>67.17020486111112</v>
      </c>
      <c r="G133" s="32">
        <v>73.27658712121212</v>
      </c>
      <c r="H133" s="73">
        <v>85.48935164141413</v>
      </c>
    </row>
    <row r="134" spans="1:8" ht="15">
      <c r="A134" s="1" t="s">
        <v>448</v>
      </c>
      <c r="B134" s="71" t="s">
        <v>76</v>
      </c>
      <c r="C134" s="147"/>
      <c r="D134" s="72">
        <v>2</v>
      </c>
      <c r="E134" s="72">
        <v>16.223269360269363</v>
      </c>
      <c r="F134" s="73">
        <f t="shared" si="3"/>
        <v>17.8455962962963</v>
      </c>
      <c r="G134" s="32">
        <v>19.467923232323233</v>
      </c>
      <c r="H134" s="73">
        <v>22.712577104377107</v>
      </c>
    </row>
    <row r="135" spans="1:8" ht="15">
      <c r="A135" s="1" t="s">
        <v>449</v>
      </c>
      <c r="B135" s="71" t="s">
        <v>77</v>
      </c>
      <c r="C135" s="147"/>
      <c r="D135" s="72">
        <v>5</v>
      </c>
      <c r="E135" s="72">
        <v>31.99785984848485</v>
      </c>
      <c r="F135" s="73">
        <f t="shared" si="3"/>
        <v>35.19764583333334</v>
      </c>
      <c r="G135" s="32">
        <v>38.39743181818182</v>
      </c>
      <c r="H135" s="73">
        <v>44.797003787878786</v>
      </c>
    </row>
    <row r="136" spans="1:8" ht="15">
      <c r="A136" s="1" t="s">
        <v>450</v>
      </c>
      <c r="B136" s="71" t="s">
        <v>78</v>
      </c>
      <c r="C136" s="147"/>
      <c r="D136" s="72">
        <v>10</v>
      </c>
      <c r="E136" s="72">
        <v>60.43382260101009</v>
      </c>
      <c r="F136" s="73">
        <f t="shared" si="3"/>
        <v>66.4772048611111</v>
      </c>
      <c r="G136" s="32">
        <v>72.5205871212121</v>
      </c>
      <c r="H136" s="73">
        <v>84.60735164141413</v>
      </c>
    </row>
    <row r="137" spans="1:8" ht="15">
      <c r="A137" s="1" t="s">
        <v>451</v>
      </c>
      <c r="B137" s="71" t="s">
        <v>79</v>
      </c>
      <c r="C137" s="147"/>
      <c r="D137" s="72">
        <v>2</v>
      </c>
      <c r="E137" s="72">
        <v>16.102519360269362</v>
      </c>
      <c r="F137" s="73">
        <f t="shared" si="3"/>
        <v>17.7127712962963</v>
      </c>
      <c r="G137" s="32">
        <v>19.323023232323234</v>
      </c>
      <c r="H137" s="73">
        <v>22.543527104377105</v>
      </c>
    </row>
    <row r="138" spans="1:8" ht="15">
      <c r="A138" s="1" t="s">
        <v>452</v>
      </c>
      <c r="B138" s="71" t="s">
        <v>80</v>
      </c>
      <c r="C138" s="147"/>
      <c r="D138" s="72">
        <v>5</v>
      </c>
      <c r="E138" s="72">
        <v>30.869109848484854</v>
      </c>
      <c r="F138" s="73">
        <f t="shared" si="3"/>
        <v>33.95602083333334</v>
      </c>
      <c r="G138" s="32">
        <v>37.04293181818182</v>
      </c>
      <c r="H138" s="73">
        <v>43.216753787878794</v>
      </c>
    </row>
    <row r="139" spans="1:8" ht="15">
      <c r="A139" s="1" t="s">
        <v>453</v>
      </c>
      <c r="B139" s="71" t="s">
        <v>81</v>
      </c>
      <c r="C139" s="147"/>
      <c r="D139" s="72">
        <v>10</v>
      </c>
      <c r="E139" s="72">
        <v>58.1763226010101</v>
      </c>
      <c r="F139" s="73">
        <f t="shared" si="3"/>
        <v>63.99395486111111</v>
      </c>
      <c r="G139" s="32">
        <v>69.81158712121211</v>
      </c>
      <c r="H139" s="73">
        <v>81.44685164141413</v>
      </c>
    </row>
    <row r="140" spans="1:8" ht="15">
      <c r="A140" s="1" t="s">
        <v>454</v>
      </c>
      <c r="B140" s="71" t="s">
        <v>82</v>
      </c>
      <c r="C140" s="147"/>
      <c r="D140" s="72">
        <v>2</v>
      </c>
      <c r="E140" s="72">
        <v>15.645769360269362</v>
      </c>
      <c r="F140" s="73">
        <f t="shared" si="3"/>
        <v>17.2103462962963</v>
      </c>
      <c r="G140" s="32">
        <v>18.774923232323236</v>
      </c>
      <c r="H140" s="73">
        <v>21.904077104377105</v>
      </c>
    </row>
    <row r="141" spans="1:8" ht="15">
      <c r="A141" s="1" t="s">
        <v>455</v>
      </c>
      <c r="B141" s="71" t="s">
        <v>83</v>
      </c>
      <c r="C141" s="147"/>
      <c r="D141" s="72">
        <v>5</v>
      </c>
      <c r="E141" s="72">
        <v>30.85598484848485</v>
      </c>
      <c r="F141" s="73">
        <f t="shared" si="3"/>
        <v>33.94158333333334</v>
      </c>
      <c r="G141" s="32">
        <v>37.02718181818182</v>
      </c>
      <c r="H141" s="73">
        <v>43.19837878787879</v>
      </c>
    </row>
    <row r="142" spans="1:8" ht="15">
      <c r="A142" s="1" t="s">
        <v>456</v>
      </c>
      <c r="B142" s="71" t="s">
        <v>84</v>
      </c>
      <c r="C142" s="147"/>
      <c r="D142" s="72">
        <v>10</v>
      </c>
      <c r="E142" s="72">
        <v>58.150072601010095</v>
      </c>
      <c r="F142" s="73">
        <f t="shared" si="3"/>
        <v>63.96507986111111</v>
      </c>
      <c r="G142" s="32">
        <v>69.7800871212121</v>
      </c>
      <c r="H142" s="73">
        <v>81.41010164141413</v>
      </c>
    </row>
    <row r="143" spans="1:8" ht="15">
      <c r="A143" s="1" t="s">
        <v>457</v>
      </c>
      <c r="B143" s="71" t="s">
        <v>85</v>
      </c>
      <c r="C143" s="147"/>
      <c r="D143" s="72">
        <v>2</v>
      </c>
      <c r="E143" s="72">
        <v>15.645769360269362</v>
      </c>
      <c r="F143" s="73">
        <f t="shared" si="3"/>
        <v>17.2103462962963</v>
      </c>
      <c r="G143" s="32">
        <v>18.774923232323236</v>
      </c>
      <c r="H143" s="73">
        <v>21.904077104377105</v>
      </c>
    </row>
    <row r="144" spans="1:8" ht="15">
      <c r="A144" s="1" t="s">
        <v>458</v>
      </c>
      <c r="B144" s="71" t="s">
        <v>86</v>
      </c>
      <c r="C144" s="147"/>
      <c r="D144" s="72">
        <v>5</v>
      </c>
      <c r="E144" s="72">
        <v>30.960984848484852</v>
      </c>
      <c r="F144" s="73">
        <f t="shared" si="3"/>
        <v>34.05708333333334</v>
      </c>
      <c r="G144" s="32">
        <v>37.15318181818182</v>
      </c>
      <c r="H144" s="73">
        <v>43.34537878787879</v>
      </c>
    </row>
    <row r="145" spans="1:8" ht="15">
      <c r="A145" s="1" t="s">
        <v>459</v>
      </c>
      <c r="B145" s="71" t="s">
        <v>87</v>
      </c>
      <c r="C145" s="147"/>
      <c r="D145" s="72">
        <v>10</v>
      </c>
      <c r="E145" s="72">
        <v>58.36007260101009</v>
      </c>
      <c r="F145" s="73">
        <f t="shared" si="3"/>
        <v>64.1960798611111</v>
      </c>
      <c r="G145" s="32">
        <v>70.0320871212121</v>
      </c>
      <c r="H145" s="73">
        <v>81.70410164141411</v>
      </c>
    </row>
    <row r="146" spans="1:8" ht="15">
      <c r="A146" s="1" t="s">
        <v>460</v>
      </c>
      <c r="B146" s="71" t="s">
        <v>88</v>
      </c>
      <c r="C146" s="147"/>
      <c r="D146" s="72">
        <v>2</v>
      </c>
      <c r="E146" s="72">
        <v>15.682519360269362</v>
      </c>
      <c r="F146" s="73">
        <f t="shared" si="3"/>
        <v>17.2507712962963</v>
      </c>
      <c r="G146" s="32">
        <v>18.819023232323232</v>
      </c>
      <c r="H146" s="73">
        <v>21.955527104377104</v>
      </c>
    </row>
    <row r="147" spans="1:8" ht="15">
      <c r="A147" s="1" t="s">
        <v>461</v>
      </c>
      <c r="B147" s="71" t="s">
        <v>89</v>
      </c>
      <c r="C147" s="147"/>
      <c r="D147" s="72">
        <v>5</v>
      </c>
      <c r="E147" s="72">
        <v>41.22473484848485</v>
      </c>
      <c r="F147" s="73">
        <f t="shared" si="3"/>
        <v>45.34720833333334</v>
      </c>
      <c r="G147" s="32">
        <v>49.46968181818182</v>
      </c>
      <c r="H147" s="73">
        <v>57.71462878787879</v>
      </c>
    </row>
    <row r="148" spans="1:8" ht="15">
      <c r="A148" s="1" t="s">
        <v>462</v>
      </c>
      <c r="B148" s="71" t="s">
        <v>90</v>
      </c>
      <c r="C148" s="147"/>
      <c r="D148" s="72">
        <v>10</v>
      </c>
      <c r="E148" s="72">
        <v>78.88757260101009</v>
      </c>
      <c r="F148" s="73">
        <f t="shared" si="3"/>
        <v>86.77632986111111</v>
      </c>
      <c r="G148" s="32">
        <v>94.66508712121211</v>
      </c>
      <c r="H148" s="73">
        <v>110.44260164141413</v>
      </c>
    </row>
    <row r="149" spans="1:8" ht="15">
      <c r="A149" s="1" t="s">
        <v>463</v>
      </c>
      <c r="B149" s="71" t="s">
        <v>91</v>
      </c>
      <c r="C149" s="147"/>
      <c r="D149" s="72">
        <v>2</v>
      </c>
      <c r="E149" s="72">
        <v>19.793269360269363</v>
      </c>
      <c r="F149" s="73">
        <f t="shared" si="3"/>
        <v>21.7725962962963</v>
      </c>
      <c r="G149" s="32">
        <v>23.751923232323236</v>
      </c>
      <c r="H149" s="73">
        <v>27.71057710437711</v>
      </c>
    </row>
    <row r="150" spans="1:8" ht="15">
      <c r="A150" s="1" t="s">
        <v>464</v>
      </c>
      <c r="B150" s="71" t="s">
        <v>92</v>
      </c>
      <c r="C150" s="147"/>
      <c r="D150" s="72">
        <v>5</v>
      </c>
      <c r="E150" s="72">
        <v>32.378484848484845</v>
      </c>
      <c r="F150" s="73">
        <f t="shared" si="3"/>
        <v>35.61633333333333</v>
      </c>
      <c r="G150" s="32">
        <v>38.854181818181814</v>
      </c>
      <c r="H150" s="73">
        <v>45.32987878787878</v>
      </c>
    </row>
    <row r="151" spans="1:8" ht="15">
      <c r="A151" s="1" t="s">
        <v>465</v>
      </c>
      <c r="B151" s="71" t="s">
        <v>93</v>
      </c>
      <c r="C151" s="147"/>
      <c r="D151" s="72">
        <v>10</v>
      </c>
      <c r="E151" s="72">
        <v>61.19507260101011</v>
      </c>
      <c r="F151" s="73">
        <f t="shared" si="3"/>
        <v>67.31457986111113</v>
      </c>
      <c r="G151" s="32">
        <v>73.43408712121213</v>
      </c>
      <c r="H151" s="73">
        <v>85.67310164141415</v>
      </c>
    </row>
    <row r="152" spans="1:8" ht="15">
      <c r="A152" s="1" t="s">
        <v>466</v>
      </c>
      <c r="B152" s="71" t="s">
        <v>94</v>
      </c>
      <c r="C152" s="147"/>
      <c r="D152" s="72">
        <v>2</v>
      </c>
      <c r="E152" s="72">
        <v>16.24951936026936</v>
      </c>
      <c r="F152" s="73">
        <f t="shared" si="3"/>
        <v>17.8744712962963</v>
      </c>
      <c r="G152" s="32">
        <v>19.49942323232323</v>
      </c>
      <c r="H152" s="73">
        <v>22.7493271043771</v>
      </c>
    </row>
    <row r="153" spans="1:8" ht="15">
      <c r="A153" s="1" t="s">
        <v>467</v>
      </c>
      <c r="B153" s="71" t="s">
        <v>95</v>
      </c>
      <c r="C153" s="147"/>
      <c r="D153" s="72">
        <v>5</v>
      </c>
      <c r="E153" s="72">
        <v>32.45723484848485</v>
      </c>
      <c r="F153" s="73">
        <f t="shared" si="3"/>
        <v>35.70295833333334</v>
      </c>
      <c r="G153" s="32">
        <v>38.94868181818182</v>
      </c>
      <c r="H153" s="73">
        <v>45.44012878787879</v>
      </c>
    </row>
    <row r="154" spans="1:8" ht="15">
      <c r="A154" s="1" t="s">
        <v>468</v>
      </c>
      <c r="B154" s="71" t="s">
        <v>96</v>
      </c>
      <c r="C154" s="147"/>
      <c r="D154" s="72">
        <v>10</v>
      </c>
      <c r="E154" s="72">
        <v>61.326322601010105</v>
      </c>
      <c r="F154" s="73">
        <f t="shared" si="3"/>
        <v>67.45895486111112</v>
      </c>
      <c r="G154" s="32">
        <v>73.59158712121213</v>
      </c>
      <c r="H154" s="73">
        <v>85.85685164141414</v>
      </c>
    </row>
    <row r="155" spans="1:8" ht="15">
      <c r="A155" s="1" t="s">
        <v>469</v>
      </c>
      <c r="B155" s="71" t="s">
        <v>97</v>
      </c>
      <c r="C155" s="147"/>
      <c r="D155" s="72">
        <v>2</v>
      </c>
      <c r="E155" s="72">
        <v>16.281019360269365</v>
      </c>
      <c r="F155" s="73">
        <f t="shared" si="3"/>
        <v>17.909121296296302</v>
      </c>
      <c r="G155" s="32">
        <v>19.53722323232324</v>
      </c>
      <c r="H155" s="73">
        <v>22.79342710437711</v>
      </c>
    </row>
    <row r="156" spans="1:8" ht="15">
      <c r="A156" s="1" t="s">
        <v>470</v>
      </c>
      <c r="B156" s="71" t="s">
        <v>98</v>
      </c>
      <c r="C156" s="147"/>
      <c r="D156" s="72">
        <v>5</v>
      </c>
      <c r="E156" s="72">
        <v>31.78785984848485</v>
      </c>
      <c r="F156" s="73">
        <f t="shared" si="3"/>
        <v>34.96664583333334</v>
      </c>
      <c r="G156" s="32">
        <v>38.14543181818182</v>
      </c>
      <c r="H156" s="73">
        <v>44.50300378787879</v>
      </c>
    </row>
    <row r="157" spans="1:8" ht="15">
      <c r="A157" s="1" t="s">
        <v>471</v>
      </c>
      <c r="B157" s="71" t="s">
        <v>99</v>
      </c>
      <c r="C157" s="147"/>
      <c r="D157" s="72">
        <v>10</v>
      </c>
      <c r="E157" s="72">
        <v>59.98757260101011</v>
      </c>
      <c r="F157" s="73">
        <f t="shared" si="3"/>
        <v>65.98632986111113</v>
      </c>
      <c r="G157" s="32">
        <v>71.98508712121213</v>
      </c>
      <c r="H157" s="73">
        <v>83.98260164141415</v>
      </c>
    </row>
    <row r="158" spans="1:8" ht="15">
      <c r="A158" s="1" t="s">
        <v>472</v>
      </c>
      <c r="B158" s="71" t="s">
        <v>100</v>
      </c>
      <c r="C158" s="147"/>
      <c r="D158" s="72">
        <v>2</v>
      </c>
      <c r="E158" s="72">
        <v>16.013269360269362</v>
      </c>
      <c r="F158" s="73">
        <f t="shared" si="3"/>
        <v>17.6145962962963</v>
      </c>
      <c r="G158" s="32">
        <v>19.215923232323235</v>
      </c>
      <c r="H158" s="73">
        <v>22.418577104377107</v>
      </c>
    </row>
    <row r="159" spans="1:8" ht="15">
      <c r="A159" s="1" t="s">
        <v>473</v>
      </c>
      <c r="B159" s="71" t="s">
        <v>101</v>
      </c>
      <c r="C159" s="147"/>
      <c r="D159" s="72">
        <v>5</v>
      </c>
      <c r="E159" s="72">
        <v>33.940359848484846</v>
      </c>
      <c r="F159" s="73">
        <f t="shared" si="3"/>
        <v>37.33439583333333</v>
      </c>
      <c r="G159" s="32">
        <v>40.72843181818181</v>
      </c>
      <c r="H159" s="73">
        <v>47.51650378787878</v>
      </c>
    </row>
    <row r="160" spans="1:8" ht="15">
      <c r="A160" s="1" t="s">
        <v>474</v>
      </c>
      <c r="B160" s="71" t="s">
        <v>102</v>
      </c>
      <c r="C160" s="147"/>
      <c r="D160" s="72">
        <v>10</v>
      </c>
      <c r="E160" s="72">
        <v>64.3188226010101</v>
      </c>
      <c r="F160" s="73">
        <f t="shared" si="3"/>
        <v>70.75070486111112</v>
      </c>
      <c r="G160" s="32">
        <v>77.18258712121211</v>
      </c>
      <c r="H160" s="73">
        <v>90.04635164141413</v>
      </c>
    </row>
    <row r="161" spans="1:8" ht="15">
      <c r="A161" s="1" t="s">
        <v>475</v>
      </c>
      <c r="B161" s="71" t="s">
        <v>103</v>
      </c>
      <c r="C161" s="147"/>
      <c r="D161" s="72">
        <v>2</v>
      </c>
      <c r="E161" s="72">
        <v>16.879519360269363</v>
      </c>
      <c r="F161" s="73">
        <f t="shared" si="3"/>
        <v>18.5674712962963</v>
      </c>
      <c r="G161" s="32">
        <v>20.255423232323235</v>
      </c>
      <c r="H161" s="73">
        <v>23.631327104377107</v>
      </c>
    </row>
    <row r="162" spans="1:8" ht="15">
      <c r="A162" s="1" t="s">
        <v>476</v>
      </c>
      <c r="B162" s="71" t="s">
        <v>104</v>
      </c>
      <c r="C162" s="147"/>
      <c r="D162" s="72">
        <v>5</v>
      </c>
      <c r="E162" s="72">
        <v>38.65223484848485</v>
      </c>
      <c r="F162" s="73">
        <f t="shared" si="3"/>
        <v>42.51745833333334</v>
      </c>
      <c r="G162" s="32">
        <v>46.38268181818182</v>
      </c>
      <c r="H162" s="73">
        <v>54.11312878787879</v>
      </c>
    </row>
    <row r="163" spans="1:8" ht="15">
      <c r="A163" s="1" t="s">
        <v>477</v>
      </c>
      <c r="B163" s="71" t="s">
        <v>105</v>
      </c>
      <c r="C163" s="147"/>
      <c r="D163" s="72">
        <v>10</v>
      </c>
      <c r="E163" s="72">
        <v>73.74257260101011</v>
      </c>
      <c r="F163" s="73">
        <f t="shared" si="3"/>
        <v>81.11682986111113</v>
      </c>
      <c r="G163" s="32">
        <v>88.49108712121213</v>
      </c>
      <c r="H163" s="73">
        <v>103.23960164141415</v>
      </c>
    </row>
    <row r="164" spans="1:8" ht="15">
      <c r="A164" s="1" t="s">
        <v>478</v>
      </c>
      <c r="B164" s="71" t="s">
        <v>106</v>
      </c>
      <c r="C164" s="147"/>
      <c r="D164" s="72">
        <v>2</v>
      </c>
      <c r="E164" s="72">
        <v>18.759019360269363</v>
      </c>
      <c r="F164" s="73">
        <f t="shared" si="3"/>
        <v>20.6349212962963</v>
      </c>
      <c r="G164" s="32">
        <v>22.510823232323236</v>
      </c>
      <c r="H164" s="73">
        <v>26.262627104377106</v>
      </c>
    </row>
    <row r="165" spans="1:8" ht="15">
      <c r="A165" s="1" t="s">
        <v>479</v>
      </c>
      <c r="B165" s="71" t="s">
        <v>107</v>
      </c>
      <c r="C165" s="147"/>
      <c r="D165" s="72">
        <v>5</v>
      </c>
      <c r="E165" s="72">
        <v>43.495359848484846</v>
      </c>
      <c r="F165" s="73">
        <f t="shared" si="3"/>
        <v>47.84489583333333</v>
      </c>
      <c r="G165" s="32">
        <v>52.19443181818181</v>
      </c>
      <c r="H165" s="73">
        <v>60.89350378787878</v>
      </c>
    </row>
    <row r="166" spans="1:8" ht="15">
      <c r="A166" s="1" t="s">
        <v>480</v>
      </c>
      <c r="B166" s="71" t="s">
        <v>108</v>
      </c>
      <c r="C166" s="147"/>
      <c r="D166" s="72">
        <v>10</v>
      </c>
      <c r="E166" s="72">
        <v>83.4288226010101</v>
      </c>
      <c r="F166" s="73">
        <f t="shared" si="3"/>
        <v>91.77170486111112</v>
      </c>
      <c r="G166" s="32">
        <v>100.11458712121211</v>
      </c>
      <c r="H166" s="73">
        <v>116.80035164141412</v>
      </c>
    </row>
    <row r="167" spans="1:8" ht="15">
      <c r="A167" s="1" t="s">
        <v>481</v>
      </c>
      <c r="B167" s="71" t="s">
        <v>109</v>
      </c>
      <c r="C167" s="147"/>
      <c r="D167" s="72">
        <v>2</v>
      </c>
      <c r="E167" s="72">
        <v>20.701519360269366</v>
      </c>
      <c r="F167" s="73">
        <f t="shared" si="3"/>
        <v>22.771671296296304</v>
      </c>
      <c r="G167" s="32">
        <v>24.84182323232324</v>
      </c>
      <c r="H167" s="73">
        <v>28.98212710437711</v>
      </c>
    </row>
    <row r="168" spans="1:8" ht="15">
      <c r="A168" s="1" t="s">
        <v>482</v>
      </c>
      <c r="B168" s="71" t="s">
        <v>110</v>
      </c>
      <c r="C168" s="147"/>
      <c r="D168" s="72">
        <v>5</v>
      </c>
      <c r="E168" s="72">
        <v>35.2667803030303</v>
      </c>
      <c r="F168" s="73">
        <f t="shared" si="3"/>
        <v>38.793458333333334</v>
      </c>
      <c r="G168" s="32">
        <v>42.32013636363636</v>
      </c>
      <c r="H168" s="73">
        <v>49.37349242424242</v>
      </c>
    </row>
    <row r="169" spans="1:8" ht="15">
      <c r="A169" s="1" t="s">
        <v>483</v>
      </c>
      <c r="B169" s="71" t="s">
        <v>111</v>
      </c>
      <c r="C169" s="147"/>
      <c r="D169" s="72">
        <v>10</v>
      </c>
      <c r="E169" s="72">
        <v>66.97829229797978</v>
      </c>
      <c r="F169" s="73">
        <f t="shared" si="3"/>
        <v>73.67612152777777</v>
      </c>
      <c r="G169" s="32">
        <v>80.37395075757573</v>
      </c>
      <c r="H169" s="73">
        <v>93.76960921717168</v>
      </c>
    </row>
    <row r="170" spans="1:8" ht="15">
      <c r="A170" s="1" t="s">
        <v>484</v>
      </c>
      <c r="B170" s="71" t="s">
        <v>112</v>
      </c>
      <c r="C170" s="147"/>
      <c r="D170" s="72">
        <v>2</v>
      </c>
      <c r="E170" s="72">
        <v>17.40146127946128</v>
      </c>
      <c r="F170" s="73">
        <f t="shared" si="3"/>
        <v>19.14160740740741</v>
      </c>
      <c r="G170" s="32">
        <v>20.881753535353536</v>
      </c>
      <c r="H170" s="73">
        <v>24.36204579124579</v>
      </c>
    </row>
    <row r="171" spans="1:8" ht="15">
      <c r="A171" s="1" t="s">
        <v>485</v>
      </c>
      <c r="B171" s="71" t="s">
        <v>113</v>
      </c>
      <c r="C171" s="147"/>
      <c r="D171" s="72">
        <v>5</v>
      </c>
      <c r="E171" s="72">
        <v>32.27348484848485</v>
      </c>
      <c r="F171" s="73">
        <f t="shared" si="3"/>
        <v>35.50083333333334</v>
      </c>
      <c r="G171" s="32">
        <v>38.72818181818182</v>
      </c>
      <c r="H171" s="73">
        <v>45.182878787878785</v>
      </c>
    </row>
    <row r="172" spans="1:8" ht="15">
      <c r="A172" s="1" t="s">
        <v>486</v>
      </c>
      <c r="B172" s="71" t="s">
        <v>114</v>
      </c>
      <c r="C172" s="147"/>
      <c r="D172" s="72">
        <v>10</v>
      </c>
      <c r="E172" s="72">
        <v>60.98507260101011</v>
      </c>
      <c r="F172" s="73">
        <f t="shared" si="3"/>
        <v>67.08357986111113</v>
      </c>
      <c r="G172" s="32">
        <v>73.18208712121213</v>
      </c>
      <c r="H172" s="73">
        <v>85.37910164141415</v>
      </c>
    </row>
    <row r="173" spans="1:8" ht="15">
      <c r="A173" s="1" t="s">
        <v>487</v>
      </c>
      <c r="B173" s="71" t="s">
        <v>115</v>
      </c>
      <c r="C173" s="147"/>
      <c r="D173" s="72">
        <v>2</v>
      </c>
      <c r="E173" s="72">
        <v>16.207519360269362</v>
      </c>
      <c r="F173" s="73">
        <f t="shared" si="3"/>
        <v>17.8282712962963</v>
      </c>
      <c r="G173" s="32">
        <v>19.449023232323235</v>
      </c>
      <c r="H173" s="73">
        <v>22.690527104377107</v>
      </c>
    </row>
    <row r="174" spans="1:8" ht="15">
      <c r="A174" s="1" t="s">
        <v>488</v>
      </c>
      <c r="B174" s="71" t="s">
        <v>116</v>
      </c>
      <c r="C174" s="147"/>
      <c r="D174" s="72">
        <v>5</v>
      </c>
      <c r="E174" s="72">
        <v>31.94535984848485</v>
      </c>
      <c r="F174" s="73">
        <f t="shared" si="3"/>
        <v>35.139895833333334</v>
      </c>
      <c r="G174" s="32">
        <v>38.33443181818182</v>
      </c>
      <c r="H174" s="73">
        <v>44.723503787878784</v>
      </c>
    </row>
    <row r="175" spans="1:8" ht="15">
      <c r="A175" s="1" t="s">
        <v>489</v>
      </c>
      <c r="B175" s="71" t="s">
        <v>117</v>
      </c>
      <c r="C175" s="147"/>
      <c r="D175" s="72">
        <v>10</v>
      </c>
      <c r="E175" s="72">
        <v>60.328822601010096</v>
      </c>
      <c r="F175" s="73">
        <f t="shared" si="3"/>
        <v>66.36170486111111</v>
      </c>
      <c r="G175" s="32">
        <v>72.39458712121211</v>
      </c>
      <c r="H175" s="73">
        <v>84.46035164141414</v>
      </c>
    </row>
    <row r="176" spans="1:8" ht="15">
      <c r="A176" s="1" t="s">
        <v>490</v>
      </c>
      <c r="B176" s="71" t="s">
        <v>118</v>
      </c>
      <c r="C176" s="147"/>
      <c r="D176" s="72">
        <v>2</v>
      </c>
      <c r="E176" s="72">
        <v>16.07626936026936</v>
      </c>
      <c r="F176" s="73">
        <f t="shared" si="3"/>
        <v>17.6838962962963</v>
      </c>
      <c r="G176" s="32">
        <v>19.291523232323232</v>
      </c>
      <c r="H176" s="73">
        <v>22.506777104377104</v>
      </c>
    </row>
    <row r="177" spans="1:8" ht="15">
      <c r="A177" s="1" t="s">
        <v>491</v>
      </c>
      <c r="B177" s="71" t="s">
        <v>119</v>
      </c>
      <c r="C177" s="147"/>
      <c r="D177" s="72">
        <v>2</v>
      </c>
      <c r="E177" s="72">
        <v>16.776711279461278</v>
      </c>
      <c r="F177" s="73">
        <f t="shared" si="3"/>
        <v>18.454382407407408</v>
      </c>
      <c r="G177" s="32">
        <v>20.13205353535353</v>
      </c>
      <c r="H177" s="73">
        <v>23.48739579124579</v>
      </c>
    </row>
    <row r="178" spans="1:8" ht="15">
      <c r="A178" s="1" t="s">
        <v>492</v>
      </c>
      <c r="B178" s="71" t="s">
        <v>120</v>
      </c>
      <c r="C178" s="147"/>
      <c r="D178" s="72">
        <v>5</v>
      </c>
      <c r="E178" s="72">
        <v>33.71803030303031</v>
      </c>
      <c r="F178" s="73">
        <f t="shared" si="3"/>
        <v>37.089833333333345</v>
      </c>
      <c r="G178" s="32">
        <v>40.46163636363637</v>
      </c>
      <c r="H178" s="73">
        <v>47.205242424242435</v>
      </c>
    </row>
    <row r="179" spans="1:8" ht="15">
      <c r="A179" s="1" t="s">
        <v>493</v>
      </c>
      <c r="B179" s="71" t="s">
        <v>121</v>
      </c>
      <c r="C179" s="147"/>
      <c r="D179" s="72">
        <v>2</v>
      </c>
      <c r="E179" s="72">
        <v>16.94471127946128</v>
      </c>
      <c r="F179" s="73">
        <f t="shared" si="3"/>
        <v>18.63918240740741</v>
      </c>
      <c r="G179" s="32">
        <v>20.333653535353537</v>
      </c>
      <c r="H179" s="73">
        <v>23.72259579124579</v>
      </c>
    </row>
    <row r="180" spans="1:8" ht="15">
      <c r="A180" s="1" t="s">
        <v>494</v>
      </c>
      <c r="B180" s="71" t="s">
        <v>122</v>
      </c>
      <c r="C180" s="147"/>
      <c r="D180" s="72">
        <v>5</v>
      </c>
      <c r="E180" s="72">
        <v>34.138030303030305</v>
      </c>
      <c r="F180" s="73">
        <f t="shared" si="3"/>
        <v>37.55183333333334</v>
      </c>
      <c r="G180" s="32">
        <v>40.965636363636364</v>
      </c>
      <c r="H180" s="73">
        <v>47.79324242424242</v>
      </c>
    </row>
    <row r="181" spans="1:8" ht="15">
      <c r="A181" s="1" t="s">
        <v>495</v>
      </c>
      <c r="B181" s="71" t="s">
        <v>123</v>
      </c>
      <c r="C181" s="147"/>
      <c r="D181" s="72">
        <v>5</v>
      </c>
      <c r="E181" s="72">
        <v>36.04035984848485</v>
      </c>
      <c r="F181" s="73">
        <f t="shared" si="3"/>
        <v>39.644395833333334</v>
      </c>
      <c r="G181" s="32">
        <v>43.248431818181814</v>
      </c>
      <c r="H181" s="73">
        <v>50.45650378787878</v>
      </c>
    </row>
    <row r="182" spans="1:8" ht="15">
      <c r="A182" s="1" t="s">
        <v>496</v>
      </c>
      <c r="B182" s="71" t="s">
        <v>124</v>
      </c>
      <c r="C182" s="147"/>
      <c r="D182" s="72">
        <v>2</v>
      </c>
      <c r="E182" s="72">
        <v>17.71426936026936</v>
      </c>
      <c r="F182" s="73">
        <f t="shared" si="3"/>
        <v>19.485696296296297</v>
      </c>
      <c r="G182" s="32">
        <v>21.25712323232323</v>
      </c>
      <c r="H182" s="73">
        <v>24.799977104377103</v>
      </c>
    </row>
    <row r="183" spans="1:8" ht="15">
      <c r="A183" s="1"/>
      <c r="B183" s="108" t="s">
        <v>899</v>
      </c>
      <c r="D183" s="109" t="s">
        <v>896</v>
      </c>
      <c r="E183" s="109">
        <f>36.53+5*0.02</f>
        <v>36.63</v>
      </c>
      <c r="F183" s="73">
        <f t="shared" si="3"/>
        <v>40.293000000000006</v>
      </c>
      <c r="G183" s="32"/>
      <c r="H183" s="73"/>
    </row>
    <row r="184" spans="1:8" ht="15">
      <c r="A184" s="1"/>
      <c r="B184" s="108" t="s">
        <v>0</v>
      </c>
      <c r="D184" s="109" t="s">
        <v>1</v>
      </c>
      <c r="E184" s="109">
        <f>69.99+10*0.02</f>
        <v>70.19</v>
      </c>
      <c r="F184" s="73">
        <f t="shared" si="3"/>
        <v>77.209</v>
      </c>
      <c r="G184" s="32"/>
      <c r="H184" s="73"/>
    </row>
    <row r="185" spans="1:8" ht="15">
      <c r="A185" s="1"/>
      <c r="B185" s="108" t="s">
        <v>2</v>
      </c>
      <c r="D185" s="109" t="s">
        <v>1</v>
      </c>
      <c r="E185" s="109">
        <f>63.46+10*0.02</f>
        <v>63.660000000000004</v>
      </c>
      <c r="F185" s="73">
        <f t="shared" si="3"/>
        <v>70.02600000000001</v>
      </c>
      <c r="G185" s="32"/>
      <c r="H185" s="73"/>
    </row>
    <row r="186" spans="1:8" ht="15">
      <c r="A186" s="1"/>
      <c r="B186" s="108" t="s">
        <v>3</v>
      </c>
      <c r="D186" s="109" t="s">
        <v>1</v>
      </c>
      <c r="E186" s="109">
        <f>63.96+0.02*10</f>
        <v>64.16</v>
      </c>
      <c r="F186" s="73">
        <f t="shared" si="3"/>
        <v>70.57600000000001</v>
      </c>
      <c r="G186" s="32"/>
      <c r="H186" s="73"/>
    </row>
    <row r="187" spans="1:8" ht="15">
      <c r="A187" s="1"/>
      <c r="B187" s="108" t="s">
        <v>4</v>
      </c>
      <c r="D187" s="109" t="s">
        <v>896</v>
      </c>
      <c r="E187" s="109">
        <f>32.86+10*0.02</f>
        <v>33.06</v>
      </c>
      <c r="F187" s="73">
        <f t="shared" si="3"/>
        <v>36.36600000000001</v>
      </c>
      <c r="G187" s="32"/>
      <c r="H187" s="73"/>
    </row>
    <row r="188" spans="1:8" ht="15">
      <c r="A188" s="1"/>
      <c r="B188" s="108" t="s">
        <v>5</v>
      </c>
      <c r="D188" s="109" t="s">
        <v>1</v>
      </c>
      <c r="E188" s="109">
        <f>62.68+10*0.02</f>
        <v>62.88</v>
      </c>
      <c r="F188" s="73">
        <f t="shared" si="3"/>
        <v>69.168</v>
      </c>
      <c r="G188" s="32"/>
      <c r="H188" s="73"/>
    </row>
    <row r="189" spans="1:8" ht="15">
      <c r="A189" s="1"/>
      <c r="B189" s="108" t="s">
        <v>6</v>
      </c>
      <c r="D189" s="109" t="s">
        <v>1</v>
      </c>
      <c r="E189" s="109">
        <f>62.86+10*0.02</f>
        <v>63.06</v>
      </c>
      <c r="F189" s="73">
        <f t="shared" si="3"/>
        <v>69.36600000000001</v>
      </c>
      <c r="G189" s="32"/>
      <c r="H189" s="73"/>
    </row>
    <row r="190" spans="1:8" ht="15">
      <c r="A190" s="1"/>
      <c r="B190" s="108" t="s">
        <v>8</v>
      </c>
      <c r="D190" s="109" t="s">
        <v>1</v>
      </c>
      <c r="E190" s="109">
        <f>67.18+10*0.02</f>
        <v>67.38000000000001</v>
      </c>
      <c r="F190" s="73">
        <f t="shared" si="3"/>
        <v>74.11800000000002</v>
      </c>
      <c r="G190" s="32"/>
      <c r="H190" s="73"/>
    </row>
    <row r="191" spans="1:8" ht="15">
      <c r="A191" s="1"/>
      <c r="B191" s="108" t="s">
        <v>15</v>
      </c>
      <c r="D191" s="109" t="s">
        <v>896</v>
      </c>
      <c r="E191" s="109">
        <f>91.96+5*0.02</f>
        <v>92.05999999999999</v>
      </c>
      <c r="F191" s="73">
        <f t="shared" si="3"/>
        <v>101.26599999999999</v>
      </c>
      <c r="G191" s="32"/>
      <c r="H191" s="73"/>
    </row>
    <row r="192" spans="1:8" ht="15">
      <c r="A192" s="1"/>
      <c r="B192" s="108" t="s">
        <v>16</v>
      </c>
      <c r="D192" s="109" t="s">
        <v>17</v>
      </c>
      <c r="E192" s="109">
        <f>18.11+0.02</f>
        <v>18.13</v>
      </c>
      <c r="F192" s="73">
        <f t="shared" si="3"/>
        <v>19.943</v>
      </c>
      <c r="G192" s="32"/>
      <c r="H192" s="73"/>
    </row>
    <row r="193" spans="1:8" ht="15">
      <c r="A193" s="1" t="s">
        <v>497</v>
      </c>
      <c r="B193" s="56" t="s">
        <v>125</v>
      </c>
      <c r="C193" s="143" t="s">
        <v>761</v>
      </c>
      <c r="D193" s="72">
        <v>10</v>
      </c>
      <c r="E193" s="109">
        <f>82.03+10*0.02</f>
        <v>82.23</v>
      </c>
      <c r="F193" s="73">
        <f t="shared" si="3"/>
        <v>90.45300000000002</v>
      </c>
      <c r="G193" s="32">
        <v>97.67074655647383</v>
      </c>
      <c r="H193" s="73">
        <v>113.94920431588612</v>
      </c>
    </row>
    <row r="194" spans="1:8" ht="15">
      <c r="A194" s="1" t="s">
        <v>498</v>
      </c>
      <c r="B194" s="56" t="s">
        <v>126</v>
      </c>
      <c r="C194" s="143"/>
      <c r="D194" s="72">
        <v>1</v>
      </c>
      <c r="E194" s="109">
        <f>10.9+0.02</f>
        <v>10.92</v>
      </c>
      <c r="F194" s="73">
        <f t="shared" si="3"/>
        <v>12.012</v>
      </c>
      <c r="G194" s="32">
        <v>12.999390852974187</v>
      </c>
      <c r="H194" s="73">
        <v>15.165955995136551</v>
      </c>
    </row>
    <row r="195" spans="1:8" ht="15">
      <c r="A195" s="1"/>
      <c r="B195" s="108" t="s">
        <v>18</v>
      </c>
      <c r="D195" s="109" t="s">
        <v>19</v>
      </c>
      <c r="E195" s="109">
        <f>19.44+0.02</f>
        <v>19.46</v>
      </c>
      <c r="F195" s="73">
        <f t="shared" si="3"/>
        <v>21.406000000000002</v>
      </c>
      <c r="G195" s="32"/>
      <c r="H195" s="73"/>
    </row>
    <row r="196" spans="1:8" ht="15">
      <c r="A196" s="1"/>
      <c r="B196" s="108" t="s">
        <v>20</v>
      </c>
      <c r="D196" s="109" t="s">
        <v>21</v>
      </c>
      <c r="E196" s="109">
        <f>8.63+0.02</f>
        <v>8.65</v>
      </c>
      <c r="F196" s="73">
        <f t="shared" si="3"/>
        <v>9.515</v>
      </c>
      <c r="G196" s="32"/>
      <c r="H196" s="73"/>
    </row>
    <row r="197" spans="1:8" ht="15">
      <c r="A197" s="1"/>
      <c r="B197" s="108" t="s">
        <v>22</v>
      </c>
      <c r="D197" s="109" t="s">
        <v>23</v>
      </c>
      <c r="E197" s="109">
        <f>9.44+0.02</f>
        <v>9.459999999999999</v>
      </c>
      <c r="F197" s="73">
        <f t="shared" si="3"/>
        <v>10.406</v>
      </c>
      <c r="G197" s="32"/>
      <c r="H197" s="73"/>
    </row>
    <row r="198" spans="1:8" ht="15">
      <c r="A198" s="1"/>
      <c r="B198" s="108" t="s">
        <v>24</v>
      </c>
      <c r="D198" s="109" t="s">
        <v>21</v>
      </c>
      <c r="E198" s="109">
        <f>10.2+0.02</f>
        <v>10.219999999999999</v>
      </c>
      <c r="F198" s="73">
        <f t="shared" si="3"/>
        <v>11.241999999999999</v>
      </c>
      <c r="G198" s="32"/>
      <c r="H198" s="73"/>
    </row>
    <row r="199" spans="1:8" ht="15">
      <c r="A199" s="1"/>
      <c r="B199" s="108" t="s">
        <v>25</v>
      </c>
      <c r="D199" s="109" t="s">
        <v>23</v>
      </c>
      <c r="E199" s="109">
        <f>12.31+0.02</f>
        <v>12.33</v>
      </c>
      <c r="F199" s="73">
        <f t="shared" si="3"/>
        <v>13.563</v>
      </c>
      <c r="G199" s="32"/>
      <c r="H199" s="73"/>
    </row>
    <row r="200" spans="1:8" s="46" customFormat="1" ht="15">
      <c r="A200" s="45" t="s">
        <v>499</v>
      </c>
      <c r="B200" s="57" t="s">
        <v>127</v>
      </c>
      <c r="C200" s="143" t="s">
        <v>762</v>
      </c>
      <c r="D200" s="72">
        <v>5</v>
      </c>
      <c r="E200" s="72">
        <v>35.59859848484849</v>
      </c>
      <c r="F200" s="73">
        <f t="shared" si="3"/>
        <v>39.15845833333334</v>
      </c>
      <c r="G200" s="32">
        <v>42.718318181818184</v>
      </c>
      <c r="H200" s="73">
        <v>49.83803787878788</v>
      </c>
    </row>
    <row r="201" spans="1:8" s="46" customFormat="1" ht="15">
      <c r="A201" s="45" t="s">
        <v>500</v>
      </c>
      <c r="B201" s="57" t="s">
        <v>128</v>
      </c>
      <c r="C201" s="143"/>
      <c r="D201" s="72">
        <v>10</v>
      </c>
      <c r="E201" s="72">
        <v>68.40583017676768</v>
      </c>
      <c r="F201" s="73">
        <f t="shared" si="3"/>
        <v>75.24641319444446</v>
      </c>
      <c r="G201" s="32">
        <v>82.0869962121212</v>
      </c>
      <c r="H201" s="73">
        <v>95.76816224747475</v>
      </c>
    </row>
    <row r="202" spans="1:8" ht="15">
      <c r="A202" s="1" t="s">
        <v>501</v>
      </c>
      <c r="B202" s="56" t="s">
        <v>129</v>
      </c>
      <c r="C202" s="143"/>
      <c r="D202" s="72">
        <v>5</v>
      </c>
      <c r="E202" s="72">
        <v>35.131098484848486</v>
      </c>
      <c r="F202" s="73">
        <f t="shared" si="3"/>
        <v>38.64420833333334</v>
      </c>
      <c r="G202" s="32">
        <v>42.157318181818184</v>
      </c>
      <c r="H202" s="73">
        <v>49.18353787878788</v>
      </c>
    </row>
    <row r="203" spans="1:8" ht="15">
      <c r="A203" s="1" t="s">
        <v>502</v>
      </c>
      <c r="B203" s="56" t="s">
        <v>130</v>
      </c>
      <c r="C203" s="143"/>
      <c r="D203" s="72">
        <v>10</v>
      </c>
      <c r="E203" s="72">
        <v>67.52583017676767</v>
      </c>
      <c r="F203" s="73">
        <f t="shared" si="3"/>
        <v>74.27841319444444</v>
      </c>
      <c r="G203" s="32">
        <v>81.0309962121212</v>
      </c>
      <c r="H203" s="73">
        <v>94.53616224747473</v>
      </c>
    </row>
    <row r="204" spans="1:8" ht="39" customHeight="1">
      <c r="A204" s="1" t="s">
        <v>503</v>
      </c>
      <c r="B204" s="56" t="s">
        <v>131</v>
      </c>
      <c r="C204" s="56" t="s">
        <v>763</v>
      </c>
      <c r="D204" s="62">
        <v>5</v>
      </c>
      <c r="E204" s="62">
        <v>64.5973484848485</v>
      </c>
      <c r="F204" s="73">
        <f t="shared" si="3"/>
        <v>71.05708333333335</v>
      </c>
      <c r="G204" s="32">
        <v>77.5168181818182</v>
      </c>
      <c r="H204" s="73">
        <v>90.4362878787879</v>
      </c>
    </row>
    <row r="205" spans="1:8" ht="26.25" customHeight="1">
      <c r="A205" s="1" t="s">
        <v>504</v>
      </c>
      <c r="B205" s="56" t="s">
        <v>132</v>
      </c>
      <c r="C205" s="56" t="s">
        <v>764</v>
      </c>
      <c r="D205" s="72" t="s">
        <v>737</v>
      </c>
      <c r="E205" s="109">
        <f>8.21+0.02</f>
        <v>8.23</v>
      </c>
      <c r="F205" s="73">
        <f aca="true" t="shared" si="4" ref="F205:F268">E205*1.1</f>
        <v>9.053</v>
      </c>
      <c r="G205" s="32">
        <v>9.796706854838709</v>
      </c>
      <c r="H205" s="73">
        <v>11.42949133064516</v>
      </c>
    </row>
    <row r="206" spans="1:8" ht="41.25" customHeight="1">
      <c r="A206" s="1" t="s">
        <v>505</v>
      </c>
      <c r="B206" s="56" t="s">
        <v>133</v>
      </c>
      <c r="C206" s="56" t="s">
        <v>765</v>
      </c>
      <c r="D206" s="72" t="s">
        <v>737</v>
      </c>
      <c r="E206" s="109">
        <f>8.55+0.02</f>
        <v>8.57</v>
      </c>
      <c r="F206" s="73">
        <f t="shared" si="4"/>
        <v>9.427000000000001</v>
      </c>
      <c r="G206" s="32">
        <v>10.228256854838708</v>
      </c>
      <c r="H206" s="73">
        <v>11.93296633064516</v>
      </c>
    </row>
    <row r="207" spans="1:8" ht="22.5">
      <c r="A207" s="1" t="s">
        <v>506</v>
      </c>
      <c r="B207" s="56" t="s">
        <v>134</v>
      </c>
      <c r="C207" s="56" t="s">
        <v>766</v>
      </c>
      <c r="D207" s="72" t="s">
        <v>737</v>
      </c>
      <c r="E207" s="109">
        <f>7.31+0.02</f>
        <v>7.329999999999999</v>
      </c>
      <c r="F207" s="73">
        <f t="shared" si="4"/>
        <v>8.063</v>
      </c>
      <c r="G207" s="32">
        <v>8.802041015625</v>
      </c>
      <c r="H207" s="73">
        <v>10.269047851562501</v>
      </c>
    </row>
    <row r="208" spans="1:8" ht="15">
      <c r="A208" s="1" t="s">
        <v>507</v>
      </c>
      <c r="B208" s="56" t="s">
        <v>316</v>
      </c>
      <c r="C208" s="143" t="s">
        <v>767</v>
      </c>
      <c r="D208" s="72" t="s">
        <v>737</v>
      </c>
      <c r="E208" s="72">
        <v>10.5</v>
      </c>
      <c r="F208" s="73">
        <f t="shared" si="4"/>
        <v>11.55</v>
      </c>
      <c r="G208" s="32">
        <v>12.6</v>
      </c>
      <c r="H208" s="73">
        <v>14.7</v>
      </c>
    </row>
    <row r="209" spans="1:8" ht="15">
      <c r="A209" s="1" t="s">
        <v>508</v>
      </c>
      <c r="B209" s="56" t="s">
        <v>317</v>
      </c>
      <c r="C209" s="143"/>
      <c r="D209" s="72" t="s">
        <v>737</v>
      </c>
      <c r="E209" s="72">
        <v>10.5</v>
      </c>
      <c r="F209" s="73">
        <f t="shared" si="4"/>
        <v>11.55</v>
      </c>
      <c r="G209" s="32">
        <v>12.6</v>
      </c>
      <c r="H209" s="73">
        <v>14.7</v>
      </c>
    </row>
    <row r="210" spans="1:8" ht="15">
      <c r="A210" s="1" t="s">
        <v>509</v>
      </c>
      <c r="B210" s="56" t="s">
        <v>318</v>
      </c>
      <c r="C210" s="143"/>
      <c r="D210" s="72" t="s">
        <v>737</v>
      </c>
      <c r="E210" s="72">
        <v>10.5</v>
      </c>
      <c r="F210" s="73">
        <f t="shared" si="4"/>
        <v>11.55</v>
      </c>
      <c r="G210" s="32">
        <v>12.6</v>
      </c>
      <c r="H210" s="73">
        <v>14.7</v>
      </c>
    </row>
    <row r="211" spans="1:8" ht="15">
      <c r="A211" s="1" t="s">
        <v>510</v>
      </c>
      <c r="B211" s="56" t="s">
        <v>319</v>
      </c>
      <c r="C211" s="143"/>
      <c r="D211" s="72" t="s">
        <v>737</v>
      </c>
      <c r="E211" s="72">
        <v>10.5</v>
      </c>
      <c r="F211" s="73">
        <f t="shared" si="4"/>
        <v>11.55</v>
      </c>
      <c r="G211" s="32">
        <v>12.6</v>
      </c>
      <c r="H211" s="73">
        <v>14.7</v>
      </c>
    </row>
    <row r="212" spans="1:8" ht="15">
      <c r="A212" s="1" t="s">
        <v>511</v>
      </c>
      <c r="B212" s="56" t="s">
        <v>320</v>
      </c>
      <c r="C212" s="143"/>
      <c r="D212" s="72" t="s">
        <v>737</v>
      </c>
      <c r="E212" s="72">
        <v>10.5</v>
      </c>
      <c r="F212" s="73">
        <f t="shared" si="4"/>
        <v>11.55</v>
      </c>
      <c r="G212" s="32">
        <v>12.6</v>
      </c>
      <c r="H212" s="73">
        <v>14.7</v>
      </c>
    </row>
    <row r="213" spans="1:8" ht="15">
      <c r="A213" s="1" t="s">
        <v>512</v>
      </c>
      <c r="B213" s="56" t="s">
        <v>321</v>
      </c>
      <c r="C213" s="143"/>
      <c r="D213" s="72" t="s">
        <v>737</v>
      </c>
      <c r="E213" s="72">
        <v>10.5</v>
      </c>
      <c r="F213" s="73">
        <f t="shared" si="4"/>
        <v>11.55</v>
      </c>
      <c r="G213" s="32">
        <v>12.6</v>
      </c>
      <c r="H213" s="73">
        <v>14.7</v>
      </c>
    </row>
    <row r="214" spans="1:8" ht="15">
      <c r="A214" s="1" t="s">
        <v>513</v>
      </c>
      <c r="B214" s="56" t="s">
        <v>322</v>
      </c>
      <c r="C214" s="143"/>
      <c r="D214" s="72" t="s">
        <v>737</v>
      </c>
      <c r="E214" s="72">
        <v>10.5</v>
      </c>
      <c r="F214" s="73">
        <f t="shared" si="4"/>
        <v>11.55</v>
      </c>
      <c r="G214" s="32">
        <v>12.6</v>
      </c>
      <c r="H214" s="73">
        <v>14.7</v>
      </c>
    </row>
    <row r="215" spans="1:8" ht="15">
      <c r="A215" s="1" t="s">
        <v>514</v>
      </c>
      <c r="B215" s="56" t="s">
        <v>323</v>
      </c>
      <c r="C215" s="143"/>
      <c r="D215" s="72" t="s">
        <v>737</v>
      </c>
      <c r="E215" s="72">
        <v>10.5</v>
      </c>
      <c r="F215" s="73">
        <f t="shared" si="4"/>
        <v>11.55</v>
      </c>
      <c r="G215" s="32">
        <v>12.6</v>
      </c>
      <c r="H215" s="73">
        <v>14.7</v>
      </c>
    </row>
    <row r="216" spans="1:8" ht="15">
      <c r="A216" s="1" t="s">
        <v>515</v>
      </c>
      <c r="B216" s="56" t="s">
        <v>324</v>
      </c>
      <c r="C216" s="143"/>
      <c r="D216" s="72" t="s">
        <v>737</v>
      </c>
      <c r="E216" s="72">
        <v>10.5</v>
      </c>
      <c r="F216" s="73">
        <f t="shared" si="4"/>
        <v>11.55</v>
      </c>
      <c r="G216" s="32">
        <v>12.6</v>
      </c>
      <c r="H216" s="73">
        <v>14.7</v>
      </c>
    </row>
    <row r="217" spans="1:8" ht="15">
      <c r="A217" s="1" t="s">
        <v>516</v>
      </c>
      <c r="B217" s="56" t="s">
        <v>325</v>
      </c>
      <c r="C217" s="143"/>
      <c r="D217" s="72" t="s">
        <v>737</v>
      </c>
      <c r="E217" s="72">
        <v>10.5</v>
      </c>
      <c r="F217" s="73">
        <f t="shared" si="4"/>
        <v>11.55</v>
      </c>
      <c r="G217" s="32">
        <v>12.6</v>
      </c>
      <c r="H217" s="73">
        <v>14.7</v>
      </c>
    </row>
    <row r="218" spans="1:8" ht="15">
      <c r="A218" s="1" t="s">
        <v>517</v>
      </c>
      <c r="B218" s="56" t="s">
        <v>326</v>
      </c>
      <c r="C218" s="143"/>
      <c r="D218" s="72" t="s">
        <v>737</v>
      </c>
      <c r="E218" s="72">
        <v>45.175</v>
      </c>
      <c r="F218" s="73">
        <f t="shared" si="4"/>
        <v>49.6925</v>
      </c>
      <c r="G218" s="32">
        <v>54.21</v>
      </c>
      <c r="H218" s="73">
        <v>63.245</v>
      </c>
    </row>
    <row r="219" spans="1:8" ht="15">
      <c r="A219" s="1" t="s">
        <v>518</v>
      </c>
      <c r="B219" s="56" t="s">
        <v>327</v>
      </c>
      <c r="C219" s="143"/>
      <c r="D219" s="72" t="s">
        <v>737</v>
      </c>
      <c r="E219" s="72">
        <v>9.05</v>
      </c>
      <c r="F219" s="73">
        <f t="shared" si="4"/>
        <v>9.955000000000002</v>
      </c>
      <c r="G219" s="32">
        <v>10.86</v>
      </c>
      <c r="H219" s="73">
        <v>12.67</v>
      </c>
    </row>
    <row r="220" spans="1:8" ht="15">
      <c r="A220" s="1" t="s">
        <v>519</v>
      </c>
      <c r="B220" s="56" t="s">
        <v>328</v>
      </c>
      <c r="C220" s="143"/>
      <c r="D220" s="72" t="s">
        <v>737</v>
      </c>
      <c r="E220" s="72">
        <v>10.5</v>
      </c>
      <c r="F220" s="73">
        <f t="shared" si="4"/>
        <v>11.55</v>
      </c>
      <c r="G220" s="32">
        <v>12.6</v>
      </c>
      <c r="H220" s="73">
        <v>14.7</v>
      </c>
    </row>
    <row r="221" spans="1:8" ht="15">
      <c r="A221" s="1" t="s">
        <v>520</v>
      </c>
      <c r="B221" s="56" t="s">
        <v>329</v>
      </c>
      <c r="C221" s="143"/>
      <c r="D221" s="72" t="s">
        <v>737</v>
      </c>
      <c r="E221" s="72">
        <v>10.5</v>
      </c>
      <c r="F221" s="73">
        <f t="shared" si="4"/>
        <v>11.55</v>
      </c>
      <c r="G221" s="32">
        <v>12.6</v>
      </c>
      <c r="H221" s="73">
        <v>14.7</v>
      </c>
    </row>
    <row r="222" spans="1:8" ht="15">
      <c r="A222" s="1" t="s">
        <v>521</v>
      </c>
      <c r="B222" s="56" t="s">
        <v>330</v>
      </c>
      <c r="C222" s="143"/>
      <c r="D222" s="72" t="s">
        <v>737</v>
      </c>
      <c r="E222" s="72">
        <v>10.5</v>
      </c>
      <c r="F222" s="73">
        <f t="shared" si="4"/>
        <v>11.55</v>
      </c>
      <c r="G222" s="32">
        <v>12.6</v>
      </c>
      <c r="H222" s="73">
        <v>14.7</v>
      </c>
    </row>
    <row r="223" spans="1:8" ht="15">
      <c r="A223" s="1" t="s">
        <v>522</v>
      </c>
      <c r="B223" s="71" t="s">
        <v>331</v>
      </c>
      <c r="C223" s="143"/>
      <c r="D223" s="72" t="s">
        <v>737</v>
      </c>
      <c r="E223" s="72">
        <v>10.5</v>
      </c>
      <c r="F223" s="73">
        <f t="shared" si="4"/>
        <v>11.55</v>
      </c>
      <c r="G223" s="32">
        <v>12.6</v>
      </c>
      <c r="H223" s="73">
        <v>14.7</v>
      </c>
    </row>
    <row r="224" spans="1:8" ht="15">
      <c r="A224" s="1" t="s">
        <v>523</v>
      </c>
      <c r="B224" s="71" t="s">
        <v>332</v>
      </c>
      <c r="C224" s="143"/>
      <c r="D224" s="72" t="s">
        <v>737</v>
      </c>
      <c r="E224" s="72">
        <v>10.5</v>
      </c>
      <c r="F224" s="73">
        <f t="shared" si="4"/>
        <v>11.55</v>
      </c>
      <c r="G224" s="32">
        <v>12.6</v>
      </c>
      <c r="H224" s="73">
        <v>14.7</v>
      </c>
    </row>
    <row r="225" spans="1:8" ht="15">
      <c r="A225" s="1" t="s">
        <v>524</v>
      </c>
      <c r="B225" s="71" t="s">
        <v>333</v>
      </c>
      <c r="C225" s="143"/>
      <c r="D225" s="72" t="s">
        <v>737</v>
      </c>
      <c r="E225" s="72">
        <v>10.5</v>
      </c>
      <c r="F225" s="73">
        <f t="shared" si="4"/>
        <v>11.55</v>
      </c>
      <c r="G225" s="32">
        <v>12.6</v>
      </c>
      <c r="H225" s="73">
        <v>14.7</v>
      </c>
    </row>
    <row r="226" spans="1:8" ht="15">
      <c r="A226" s="1" t="s">
        <v>525</v>
      </c>
      <c r="B226" s="71" t="s">
        <v>334</v>
      </c>
      <c r="C226" s="143"/>
      <c r="D226" s="72" t="s">
        <v>737</v>
      </c>
      <c r="E226" s="72">
        <v>10.5</v>
      </c>
      <c r="F226" s="73">
        <f t="shared" si="4"/>
        <v>11.55</v>
      </c>
      <c r="G226" s="32">
        <v>12.6</v>
      </c>
      <c r="H226" s="73">
        <v>14.7</v>
      </c>
    </row>
    <row r="227" spans="1:8" ht="15">
      <c r="A227" s="1" t="s">
        <v>526</v>
      </c>
      <c r="B227" s="71" t="s">
        <v>335</v>
      </c>
      <c r="C227" s="143"/>
      <c r="D227" s="72" t="s">
        <v>737</v>
      </c>
      <c r="E227" s="72">
        <v>10.5</v>
      </c>
      <c r="F227" s="73">
        <f t="shared" si="4"/>
        <v>11.55</v>
      </c>
      <c r="G227" s="32">
        <v>12.6</v>
      </c>
      <c r="H227" s="73">
        <v>14.7</v>
      </c>
    </row>
    <row r="228" spans="1:8" ht="15">
      <c r="A228" s="1" t="s">
        <v>527</v>
      </c>
      <c r="B228" s="71" t="s">
        <v>336</v>
      </c>
      <c r="C228" s="143"/>
      <c r="D228" s="72" t="s">
        <v>737</v>
      </c>
      <c r="E228" s="72">
        <v>10.5</v>
      </c>
      <c r="F228" s="73">
        <f t="shared" si="4"/>
        <v>11.55</v>
      </c>
      <c r="G228" s="32">
        <v>12.6</v>
      </c>
      <c r="H228" s="73">
        <v>14.7</v>
      </c>
    </row>
    <row r="229" spans="1:8" ht="15">
      <c r="A229" s="1" t="s">
        <v>528</v>
      </c>
      <c r="B229" s="71" t="s">
        <v>337</v>
      </c>
      <c r="C229" s="143"/>
      <c r="D229" s="72" t="s">
        <v>737</v>
      </c>
      <c r="E229" s="72">
        <v>10.5</v>
      </c>
      <c r="F229" s="73">
        <f t="shared" si="4"/>
        <v>11.55</v>
      </c>
      <c r="G229" s="32">
        <v>12.6</v>
      </c>
      <c r="H229" s="73">
        <v>14.7</v>
      </c>
    </row>
    <row r="230" spans="1:8" ht="15">
      <c r="A230" s="1" t="s">
        <v>529</v>
      </c>
      <c r="B230" s="71" t="s">
        <v>338</v>
      </c>
      <c r="C230" s="143"/>
      <c r="D230" s="72" t="s">
        <v>737</v>
      </c>
      <c r="E230" s="72">
        <v>6.575</v>
      </c>
      <c r="F230" s="73">
        <f t="shared" si="4"/>
        <v>7.232500000000001</v>
      </c>
      <c r="G230" s="32">
        <v>7.89</v>
      </c>
      <c r="H230" s="73">
        <v>9.205</v>
      </c>
    </row>
    <row r="231" spans="1:8" ht="15">
      <c r="A231" s="1" t="s">
        <v>530</v>
      </c>
      <c r="B231" s="71" t="s">
        <v>339</v>
      </c>
      <c r="C231" s="143"/>
      <c r="D231" s="72" t="s">
        <v>737</v>
      </c>
      <c r="E231" s="72">
        <v>10.5</v>
      </c>
      <c r="F231" s="73">
        <f t="shared" si="4"/>
        <v>11.55</v>
      </c>
      <c r="G231" s="32">
        <v>12.6</v>
      </c>
      <c r="H231" s="73">
        <v>14.7</v>
      </c>
    </row>
    <row r="232" spans="1:8" ht="15">
      <c r="A232" s="1" t="s">
        <v>531</v>
      </c>
      <c r="B232" s="71" t="s">
        <v>340</v>
      </c>
      <c r="C232" s="143"/>
      <c r="D232" s="72" t="s">
        <v>737</v>
      </c>
      <c r="E232" s="72">
        <v>10.5</v>
      </c>
      <c r="F232" s="73">
        <f t="shared" si="4"/>
        <v>11.55</v>
      </c>
      <c r="G232" s="32">
        <v>12.6</v>
      </c>
      <c r="H232" s="73">
        <v>14.7</v>
      </c>
    </row>
    <row r="233" spans="1:8" ht="15">
      <c r="A233" s="1" t="s">
        <v>532</v>
      </c>
      <c r="B233" s="71" t="s">
        <v>341</v>
      </c>
      <c r="C233" s="147" t="s">
        <v>768</v>
      </c>
      <c r="D233" s="72" t="s">
        <v>737</v>
      </c>
      <c r="E233" s="109">
        <f>5.95+0.02</f>
        <v>5.97</v>
      </c>
      <c r="F233" s="73">
        <f t="shared" si="4"/>
        <v>6.567</v>
      </c>
      <c r="G233" s="32">
        <v>7.095</v>
      </c>
      <c r="H233" s="73">
        <v>8.2775</v>
      </c>
    </row>
    <row r="234" spans="1:8" ht="15">
      <c r="A234" s="1" t="s">
        <v>533</v>
      </c>
      <c r="B234" s="71" t="s">
        <v>342</v>
      </c>
      <c r="C234" s="147"/>
      <c r="D234" s="72" t="s">
        <v>737</v>
      </c>
      <c r="E234" s="109">
        <f>0.02+6.08</f>
        <v>6.1</v>
      </c>
      <c r="F234" s="73">
        <f t="shared" si="4"/>
        <v>6.71</v>
      </c>
      <c r="G234" s="32">
        <v>7.095</v>
      </c>
      <c r="H234" s="73">
        <v>8.2775</v>
      </c>
    </row>
    <row r="235" spans="1:8" ht="15">
      <c r="A235" s="1" t="s">
        <v>534</v>
      </c>
      <c r="B235" s="71" t="s">
        <v>343</v>
      </c>
      <c r="C235" s="147"/>
      <c r="D235" s="72" t="s">
        <v>737</v>
      </c>
      <c r="E235" s="109">
        <f>0.02+6.08</f>
        <v>6.1</v>
      </c>
      <c r="F235" s="73">
        <f t="shared" si="4"/>
        <v>6.71</v>
      </c>
      <c r="G235" s="32">
        <v>7.095</v>
      </c>
      <c r="H235" s="73">
        <v>8.2775</v>
      </c>
    </row>
    <row r="236" spans="1:8" ht="15">
      <c r="A236" s="1" t="s">
        <v>535</v>
      </c>
      <c r="B236" s="71" t="s">
        <v>344</v>
      </c>
      <c r="C236" s="147"/>
      <c r="D236" s="72" t="s">
        <v>737</v>
      </c>
      <c r="E236" s="109">
        <f>0.02+6.08</f>
        <v>6.1</v>
      </c>
      <c r="F236" s="73">
        <f t="shared" si="4"/>
        <v>6.71</v>
      </c>
      <c r="G236" s="32">
        <v>7.095</v>
      </c>
      <c r="H236" s="73">
        <v>8.2775</v>
      </c>
    </row>
    <row r="237" spans="1:8" ht="15">
      <c r="A237" s="1" t="s">
        <v>536</v>
      </c>
      <c r="B237" s="71" t="s">
        <v>345</v>
      </c>
      <c r="C237" s="147"/>
      <c r="D237" s="72" t="s">
        <v>737</v>
      </c>
      <c r="E237" s="109">
        <f>0.02+6.01</f>
        <v>6.029999999999999</v>
      </c>
      <c r="F237" s="73">
        <f t="shared" si="4"/>
        <v>6.633</v>
      </c>
      <c r="G237" s="32">
        <v>7.095</v>
      </c>
      <c r="H237" s="73">
        <v>8.2775</v>
      </c>
    </row>
    <row r="238" spans="1:8" ht="15">
      <c r="A238" s="1" t="s">
        <v>537</v>
      </c>
      <c r="B238" s="71" t="s">
        <v>346</v>
      </c>
      <c r="C238" s="147"/>
      <c r="D238" s="72" t="s">
        <v>737</v>
      </c>
      <c r="E238" s="109">
        <f>0.02+6.08</f>
        <v>6.1</v>
      </c>
      <c r="F238" s="73">
        <f t="shared" si="4"/>
        <v>6.71</v>
      </c>
      <c r="G238" s="32">
        <v>7.095</v>
      </c>
      <c r="H238" s="73">
        <v>8.2775</v>
      </c>
    </row>
    <row r="239" spans="1:8" ht="15">
      <c r="A239" s="1" t="s">
        <v>538</v>
      </c>
      <c r="B239" s="71" t="s">
        <v>347</v>
      </c>
      <c r="C239" s="147"/>
      <c r="D239" s="72" t="s">
        <v>737</v>
      </c>
      <c r="E239" s="109">
        <f>0.02+5.95</f>
        <v>5.97</v>
      </c>
      <c r="F239" s="73">
        <f t="shared" si="4"/>
        <v>6.567</v>
      </c>
      <c r="G239" s="32">
        <v>7.095</v>
      </c>
      <c r="H239" s="73">
        <v>8.2775</v>
      </c>
    </row>
    <row r="240" spans="1:8" ht="15">
      <c r="A240" s="1" t="s">
        <v>539</v>
      </c>
      <c r="B240" s="71" t="s">
        <v>348</v>
      </c>
      <c r="C240" s="147"/>
      <c r="D240" s="72" t="s">
        <v>737</v>
      </c>
      <c r="E240" s="109">
        <f>0.02+6.01</f>
        <v>6.029999999999999</v>
      </c>
      <c r="F240" s="73">
        <f t="shared" si="4"/>
        <v>6.633</v>
      </c>
      <c r="G240" s="32">
        <v>7.095</v>
      </c>
      <c r="H240" s="73">
        <v>8.2775</v>
      </c>
    </row>
    <row r="241" spans="1:8" ht="15">
      <c r="A241" s="1" t="s">
        <v>540</v>
      </c>
      <c r="B241" s="71" t="s">
        <v>349</v>
      </c>
      <c r="C241" s="147"/>
      <c r="D241" s="72" t="s">
        <v>737</v>
      </c>
      <c r="E241" s="109">
        <f>0.02+6.08</f>
        <v>6.1</v>
      </c>
      <c r="F241" s="73">
        <f t="shared" si="4"/>
        <v>6.71</v>
      </c>
      <c r="G241" s="32">
        <v>7.095</v>
      </c>
      <c r="H241" s="73">
        <v>8.2775</v>
      </c>
    </row>
    <row r="242" spans="1:8" ht="15">
      <c r="A242" s="1" t="s">
        <v>541</v>
      </c>
      <c r="B242" s="71" t="s">
        <v>350</v>
      </c>
      <c r="C242" s="147"/>
      <c r="D242" s="72" t="s">
        <v>737</v>
      </c>
      <c r="E242" s="109">
        <f>0.02+6.08</f>
        <v>6.1</v>
      </c>
      <c r="F242" s="73">
        <f t="shared" si="4"/>
        <v>6.71</v>
      </c>
      <c r="G242" s="32">
        <v>7.095</v>
      </c>
      <c r="H242" s="73">
        <v>8.2775</v>
      </c>
    </row>
    <row r="243" spans="1:8" ht="15">
      <c r="A243" s="1" t="s">
        <v>542</v>
      </c>
      <c r="B243" s="71" t="s">
        <v>351</v>
      </c>
      <c r="C243" s="147"/>
      <c r="D243" s="72" t="s">
        <v>737</v>
      </c>
      <c r="E243" s="109">
        <f>0.02+6.08</f>
        <v>6.1</v>
      </c>
      <c r="F243" s="73">
        <f t="shared" si="4"/>
        <v>6.71</v>
      </c>
      <c r="G243" s="32">
        <v>7.095</v>
      </c>
      <c r="H243" s="73">
        <v>8.2775</v>
      </c>
    </row>
    <row r="244" spans="1:8" ht="15">
      <c r="A244" s="1" t="s">
        <v>543</v>
      </c>
      <c r="B244" s="71" t="s">
        <v>352</v>
      </c>
      <c r="C244" s="147"/>
      <c r="D244" s="72" t="s">
        <v>737</v>
      </c>
      <c r="E244" s="112">
        <f>0.02+6.08</f>
        <v>6.1</v>
      </c>
      <c r="F244" s="73">
        <f t="shared" si="4"/>
        <v>6.71</v>
      </c>
      <c r="G244" s="32">
        <v>7.095</v>
      </c>
      <c r="H244" s="73">
        <v>8.2775</v>
      </c>
    </row>
    <row r="245" spans="1:8" ht="15">
      <c r="A245" s="1" t="s">
        <v>544</v>
      </c>
      <c r="B245" s="71" t="s">
        <v>353</v>
      </c>
      <c r="C245" s="147"/>
      <c r="D245" s="72" t="s">
        <v>737</v>
      </c>
      <c r="E245" s="109">
        <v>6.1</v>
      </c>
      <c r="F245" s="73">
        <f t="shared" si="4"/>
        <v>6.71</v>
      </c>
      <c r="G245" s="32">
        <v>7.095</v>
      </c>
      <c r="H245" s="73">
        <v>8.2775</v>
      </c>
    </row>
    <row r="246" spans="1:8" ht="15">
      <c r="A246" s="1" t="s">
        <v>545</v>
      </c>
      <c r="B246" s="71" t="s">
        <v>354</v>
      </c>
      <c r="C246" s="147"/>
      <c r="D246" s="72" t="s">
        <v>737</v>
      </c>
      <c r="E246" s="109">
        <v>6.1</v>
      </c>
      <c r="F246" s="73">
        <f t="shared" si="4"/>
        <v>6.71</v>
      </c>
      <c r="G246" s="32">
        <v>7.095</v>
      </c>
      <c r="H246" s="73">
        <v>8.2775</v>
      </c>
    </row>
    <row r="247" spans="1:8" ht="15">
      <c r="A247" s="1" t="s">
        <v>546</v>
      </c>
      <c r="B247" s="71" t="s">
        <v>355</v>
      </c>
      <c r="C247" s="147"/>
      <c r="D247" s="72" t="s">
        <v>737</v>
      </c>
      <c r="E247" s="109">
        <v>6.1</v>
      </c>
      <c r="F247" s="73">
        <f t="shared" si="4"/>
        <v>6.71</v>
      </c>
      <c r="G247" s="32">
        <v>7.095</v>
      </c>
      <c r="H247" s="73">
        <v>8.2775</v>
      </c>
    </row>
    <row r="248" spans="1:8" ht="15">
      <c r="A248" s="1" t="s">
        <v>547</v>
      </c>
      <c r="B248" s="71" t="s">
        <v>356</v>
      </c>
      <c r="C248" s="147"/>
      <c r="D248" s="72" t="s">
        <v>737</v>
      </c>
      <c r="E248" s="109">
        <v>6.1</v>
      </c>
      <c r="F248" s="73">
        <f t="shared" si="4"/>
        <v>6.71</v>
      </c>
      <c r="G248" s="32">
        <v>7.095</v>
      </c>
      <c r="H248" s="73">
        <v>8.2775</v>
      </c>
    </row>
    <row r="249" spans="1:8" ht="15">
      <c r="A249" s="1" t="s">
        <v>548</v>
      </c>
      <c r="B249" s="71" t="s">
        <v>357</v>
      </c>
      <c r="C249" s="147"/>
      <c r="D249" s="72" t="s">
        <v>737</v>
      </c>
      <c r="E249" s="109">
        <v>6.1</v>
      </c>
      <c r="F249" s="73">
        <f t="shared" si="4"/>
        <v>6.71</v>
      </c>
      <c r="G249" s="32">
        <v>7.095</v>
      </c>
      <c r="H249" s="73">
        <v>8.2775</v>
      </c>
    </row>
    <row r="250" spans="1:8" ht="15">
      <c r="A250" s="1" t="s">
        <v>549</v>
      </c>
      <c r="B250" s="56" t="s">
        <v>358</v>
      </c>
      <c r="C250" s="147"/>
      <c r="D250" s="72" t="s">
        <v>737</v>
      </c>
      <c r="E250" s="109">
        <v>6.1</v>
      </c>
      <c r="F250" s="73">
        <f t="shared" si="4"/>
        <v>6.71</v>
      </c>
      <c r="G250" s="32">
        <v>7.095</v>
      </c>
      <c r="H250" s="73">
        <v>8.2775</v>
      </c>
    </row>
    <row r="251" spans="1:8" ht="15">
      <c r="A251" s="1" t="s">
        <v>550</v>
      </c>
      <c r="B251" s="63" t="s">
        <v>359</v>
      </c>
      <c r="C251" s="147"/>
      <c r="D251" s="74" t="s">
        <v>737</v>
      </c>
      <c r="E251" s="109">
        <v>6.1</v>
      </c>
      <c r="F251" s="73">
        <f t="shared" si="4"/>
        <v>6.71</v>
      </c>
      <c r="G251" s="32">
        <v>7.095</v>
      </c>
      <c r="H251" s="73">
        <v>8.2775</v>
      </c>
    </row>
    <row r="252" spans="1:8" ht="15">
      <c r="A252" s="1" t="s">
        <v>551</v>
      </c>
      <c r="B252" s="63" t="s">
        <v>360</v>
      </c>
      <c r="C252" s="147"/>
      <c r="D252" s="74" t="s">
        <v>737</v>
      </c>
      <c r="E252" s="109">
        <v>6.1</v>
      </c>
      <c r="F252" s="73">
        <f t="shared" si="4"/>
        <v>6.71</v>
      </c>
      <c r="G252" s="32">
        <v>7.095</v>
      </c>
      <c r="H252" s="73">
        <v>8.2775</v>
      </c>
    </row>
    <row r="253" spans="1:8" ht="15">
      <c r="A253" s="1" t="s">
        <v>552</v>
      </c>
      <c r="B253" s="63" t="s">
        <v>361</v>
      </c>
      <c r="C253" s="147"/>
      <c r="D253" s="74" t="s">
        <v>737</v>
      </c>
      <c r="E253" s="109">
        <v>6.1</v>
      </c>
      <c r="F253" s="73">
        <f t="shared" si="4"/>
        <v>6.71</v>
      </c>
      <c r="G253" s="32">
        <v>7.095</v>
      </c>
      <c r="H253" s="73">
        <v>8.2775</v>
      </c>
    </row>
    <row r="254" spans="1:8" ht="15">
      <c r="A254" s="1" t="s">
        <v>553</v>
      </c>
      <c r="B254" s="63" t="s">
        <v>362</v>
      </c>
      <c r="C254" s="147"/>
      <c r="D254" s="74" t="s">
        <v>737</v>
      </c>
      <c r="E254" s="109">
        <v>6.1</v>
      </c>
      <c r="F254" s="73">
        <f t="shared" si="4"/>
        <v>6.71</v>
      </c>
      <c r="G254" s="32">
        <v>7.095</v>
      </c>
      <c r="H254" s="73">
        <v>8.2775</v>
      </c>
    </row>
    <row r="255" spans="1:8" ht="15">
      <c r="A255" s="1" t="s">
        <v>554</v>
      </c>
      <c r="B255" s="63" t="s">
        <v>363</v>
      </c>
      <c r="C255" s="147"/>
      <c r="D255" s="74" t="s">
        <v>737</v>
      </c>
      <c r="E255" s="109">
        <v>6.1</v>
      </c>
      <c r="F255" s="73">
        <f t="shared" si="4"/>
        <v>6.71</v>
      </c>
      <c r="G255" s="32">
        <v>7.095</v>
      </c>
      <c r="H255" s="73">
        <v>8.2775</v>
      </c>
    </row>
    <row r="256" spans="1:8" ht="15">
      <c r="A256" s="1" t="s">
        <v>555</v>
      </c>
      <c r="B256" s="63" t="s">
        <v>364</v>
      </c>
      <c r="C256" s="147"/>
      <c r="D256" s="74" t="s">
        <v>737</v>
      </c>
      <c r="E256" s="109">
        <v>6.1</v>
      </c>
      <c r="F256" s="73">
        <f t="shared" si="4"/>
        <v>6.71</v>
      </c>
      <c r="G256" s="32">
        <v>7.095</v>
      </c>
      <c r="H256" s="73">
        <v>8.2775</v>
      </c>
    </row>
    <row r="257" spans="1:8" ht="15">
      <c r="A257" s="1" t="s">
        <v>556</v>
      </c>
      <c r="B257" s="63" t="s">
        <v>365</v>
      </c>
      <c r="C257" s="147"/>
      <c r="D257" s="74" t="s">
        <v>737</v>
      </c>
      <c r="E257" s="109">
        <v>6.1</v>
      </c>
      <c r="F257" s="73">
        <f t="shared" si="4"/>
        <v>6.71</v>
      </c>
      <c r="G257" s="32">
        <v>7.095</v>
      </c>
      <c r="H257" s="73">
        <v>8.2775</v>
      </c>
    </row>
    <row r="258" spans="1:8" ht="15">
      <c r="A258" s="1" t="s">
        <v>557</v>
      </c>
      <c r="B258" s="63" t="s">
        <v>366</v>
      </c>
      <c r="C258" s="147"/>
      <c r="D258" s="74" t="s">
        <v>737</v>
      </c>
      <c r="E258" s="109">
        <v>6.1</v>
      </c>
      <c r="F258" s="73">
        <f t="shared" si="4"/>
        <v>6.71</v>
      </c>
      <c r="G258" s="32">
        <v>7.095</v>
      </c>
      <c r="H258" s="73">
        <v>8.2775</v>
      </c>
    </row>
    <row r="259" spans="1:8" ht="15">
      <c r="A259" s="1" t="s">
        <v>558</v>
      </c>
      <c r="B259" s="63" t="s">
        <v>367</v>
      </c>
      <c r="C259" s="147"/>
      <c r="D259" s="74" t="s">
        <v>737</v>
      </c>
      <c r="E259" s="109">
        <f>0.02+5.95</f>
        <v>5.97</v>
      </c>
      <c r="F259" s="73">
        <f t="shared" si="4"/>
        <v>6.567</v>
      </c>
      <c r="G259" s="32">
        <v>7.095</v>
      </c>
      <c r="H259" s="73">
        <v>8.2775</v>
      </c>
    </row>
    <row r="260" spans="1:8" ht="15">
      <c r="A260" s="1" t="s">
        <v>559</v>
      </c>
      <c r="B260" s="63" t="s">
        <v>135</v>
      </c>
      <c r="C260" s="63"/>
      <c r="D260" s="74">
        <v>25</v>
      </c>
      <c r="E260" s="72">
        <v>25.4875</v>
      </c>
      <c r="F260" s="73">
        <f t="shared" si="4"/>
        <v>28.036250000000003</v>
      </c>
      <c r="G260" s="32">
        <v>30.585</v>
      </c>
      <c r="H260" s="73">
        <v>35.6825</v>
      </c>
    </row>
    <row r="261" spans="1:8" ht="15">
      <c r="A261" s="1" t="s">
        <v>214</v>
      </c>
      <c r="B261" s="63" t="s">
        <v>368</v>
      </c>
      <c r="C261" s="116" t="s">
        <v>769</v>
      </c>
      <c r="D261" s="74">
        <v>2</v>
      </c>
      <c r="E261" s="72">
        <v>4.431112339116555</v>
      </c>
      <c r="F261" s="73">
        <f t="shared" si="4"/>
        <v>4.874223573028211</v>
      </c>
      <c r="G261" s="32">
        <v>5.317334806939866</v>
      </c>
      <c r="H261" s="73">
        <v>6.203557274763177</v>
      </c>
    </row>
    <row r="262" spans="1:8" ht="15">
      <c r="A262" s="1" t="s">
        <v>215</v>
      </c>
      <c r="B262" s="63" t="s">
        <v>369</v>
      </c>
      <c r="C262" s="116"/>
      <c r="D262" s="74">
        <v>5</v>
      </c>
      <c r="E262" s="72">
        <v>10.779422342868294</v>
      </c>
      <c r="F262" s="73">
        <f t="shared" si="4"/>
        <v>11.857364577155124</v>
      </c>
      <c r="G262" s="32">
        <v>12.935306811441952</v>
      </c>
      <c r="H262" s="73">
        <v>15.091191280015611</v>
      </c>
    </row>
    <row r="263" spans="1:8" ht="15">
      <c r="A263" s="1" t="s">
        <v>216</v>
      </c>
      <c r="B263" s="63" t="s">
        <v>370</v>
      </c>
      <c r="C263" s="116"/>
      <c r="D263" s="74">
        <v>2</v>
      </c>
      <c r="E263" s="72">
        <v>4.8375</v>
      </c>
      <c r="F263" s="73">
        <f t="shared" si="4"/>
        <v>5.321250000000001</v>
      </c>
      <c r="G263" s="32">
        <v>5.805</v>
      </c>
      <c r="H263" s="73">
        <v>6.7725</v>
      </c>
    </row>
    <row r="264" spans="1:8" ht="15">
      <c r="A264" s="1" t="s">
        <v>217</v>
      </c>
      <c r="B264" s="63" t="s">
        <v>371</v>
      </c>
      <c r="C264" s="116"/>
      <c r="D264" s="74">
        <v>5</v>
      </c>
      <c r="E264" s="72">
        <v>11.85</v>
      </c>
      <c r="F264" s="73">
        <f t="shared" si="4"/>
        <v>13.035</v>
      </c>
      <c r="G264" s="32">
        <v>14.22</v>
      </c>
      <c r="H264" s="73">
        <v>16.59</v>
      </c>
    </row>
    <row r="265" spans="1:8" ht="15">
      <c r="A265" s="1" t="s">
        <v>218</v>
      </c>
      <c r="B265" s="63" t="s">
        <v>372</v>
      </c>
      <c r="C265" s="116"/>
      <c r="D265" s="74">
        <v>2</v>
      </c>
      <c r="E265" s="72">
        <v>7.4375</v>
      </c>
      <c r="F265" s="73">
        <f t="shared" si="4"/>
        <v>8.18125</v>
      </c>
      <c r="G265" s="32">
        <v>8.925</v>
      </c>
      <c r="H265" s="73">
        <v>10.4125</v>
      </c>
    </row>
    <row r="266" spans="1:8" ht="15">
      <c r="A266" s="1" t="s">
        <v>219</v>
      </c>
      <c r="B266" s="63" t="s">
        <v>373</v>
      </c>
      <c r="C266" s="116"/>
      <c r="D266" s="74">
        <v>5</v>
      </c>
      <c r="E266" s="72">
        <v>18.65</v>
      </c>
      <c r="F266" s="73">
        <f t="shared" si="4"/>
        <v>20.515</v>
      </c>
      <c r="G266" s="32">
        <v>22.38</v>
      </c>
      <c r="H266" s="73">
        <v>26.11</v>
      </c>
    </row>
    <row r="267" spans="1:8" ht="15">
      <c r="A267" s="1" t="s">
        <v>220</v>
      </c>
      <c r="B267" s="63" t="s">
        <v>374</v>
      </c>
      <c r="C267" s="116"/>
      <c r="D267" s="74">
        <v>2</v>
      </c>
      <c r="E267" s="72">
        <v>4.324079024817224</v>
      </c>
      <c r="F267" s="73">
        <f t="shared" si="4"/>
        <v>4.756486927298947</v>
      </c>
      <c r="G267" s="32">
        <v>5.1888948297806685</v>
      </c>
      <c r="H267" s="73">
        <v>6.053710634744113</v>
      </c>
    </row>
    <row r="268" spans="1:8" ht="15">
      <c r="A268" s="1" t="s">
        <v>221</v>
      </c>
      <c r="B268" s="63" t="s">
        <v>375</v>
      </c>
      <c r="C268" s="116"/>
      <c r="D268" s="74">
        <v>5</v>
      </c>
      <c r="E268" s="72">
        <v>10.511839057119968</v>
      </c>
      <c r="F268" s="73">
        <f t="shared" si="4"/>
        <v>11.563022962831965</v>
      </c>
      <c r="G268" s="32">
        <v>12.614206868543961</v>
      </c>
      <c r="H268" s="73">
        <v>14.716574679967954</v>
      </c>
    </row>
    <row r="269" spans="1:8" ht="15">
      <c r="A269" s="1" t="s">
        <v>222</v>
      </c>
      <c r="B269" s="63" t="s">
        <v>376</v>
      </c>
      <c r="C269" s="116"/>
      <c r="D269" s="74">
        <v>2</v>
      </c>
      <c r="E269" s="72">
        <v>4.3812294744811</v>
      </c>
      <c r="F269" s="73">
        <f aca="true" t="shared" si="5" ref="F269:F292">E269*1.1</f>
        <v>4.81935242192921</v>
      </c>
      <c r="G269" s="32">
        <v>5.25747536937732</v>
      </c>
      <c r="H269" s="73">
        <v>6.1337212642735395</v>
      </c>
    </row>
    <row r="270" spans="1:8" ht="15">
      <c r="A270" s="1" t="s">
        <v>223</v>
      </c>
      <c r="B270" s="63" t="s">
        <v>377</v>
      </c>
      <c r="C270" s="116"/>
      <c r="D270" s="74">
        <v>5</v>
      </c>
      <c r="E270" s="72">
        <v>10.65475938800124</v>
      </c>
      <c r="F270" s="73">
        <f t="shared" si="5"/>
        <v>11.720235326801365</v>
      </c>
      <c r="G270" s="32">
        <v>12.785711265601488</v>
      </c>
      <c r="H270" s="73">
        <v>14.916663143201735</v>
      </c>
    </row>
    <row r="271" spans="1:8" ht="15">
      <c r="A271" s="1" t="s">
        <v>224</v>
      </c>
      <c r="B271" s="63" t="s">
        <v>378</v>
      </c>
      <c r="C271" s="116"/>
      <c r="D271" s="74">
        <v>2</v>
      </c>
      <c r="E271" s="72">
        <v>5.063321505834543</v>
      </c>
      <c r="F271" s="73">
        <f t="shared" si="5"/>
        <v>5.569653656417998</v>
      </c>
      <c r="G271" s="32">
        <v>6.075985807001452</v>
      </c>
      <c r="H271" s="73">
        <v>7.08865010816836</v>
      </c>
    </row>
    <row r="272" spans="1:8" ht="15">
      <c r="A272" s="1" t="s">
        <v>225</v>
      </c>
      <c r="B272" s="63" t="s">
        <v>379</v>
      </c>
      <c r="C272" s="116"/>
      <c r="D272" s="74">
        <v>5</v>
      </c>
      <c r="E272" s="72">
        <v>12.359945259663267</v>
      </c>
      <c r="F272" s="73">
        <f t="shared" si="5"/>
        <v>13.595939785629595</v>
      </c>
      <c r="G272" s="32">
        <v>14.83193431159592</v>
      </c>
      <c r="H272" s="73">
        <v>17.303923363528572</v>
      </c>
    </row>
    <row r="273" spans="1:8" ht="15">
      <c r="A273" s="1" t="s">
        <v>226</v>
      </c>
      <c r="B273" s="63" t="s">
        <v>380</v>
      </c>
      <c r="C273" s="116"/>
      <c r="D273" s="74">
        <v>2</v>
      </c>
      <c r="E273" s="72">
        <v>4.390601299456922</v>
      </c>
      <c r="F273" s="73">
        <f t="shared" si="5"/>
        <v>4.829661429402615</v>
      </c>
      <c r="G273" s="32">
        <v>5.268721559348306</v>
      </c>
      <c r="H273" s="73">
        <v>6.14684181923969</v>
      </c>
    </row>
    <row r="274" spans="1:8" ht="15">
      <c r="A274" s="1" t="s">
        <v>227</v>
      </c>
      <c r="B274" s="63" t="s">
        <v>381</v>
      </c>
      <c r="C274" s="116"/>
      <c r="D274" s="74">
        <v>5</v>
      </c>
      <c r="E274" s="72">
        <v>10.678144743719209</v>
      </c>
      <c r="F274" s="73">
        <f t="shared" si="5"/>
        <v>11.74595921809113</v>
      </c>
      <c r="G274" s="32">
        <v>12.81377369246305</v>
      </c>
      <c r="H274" s="73">
        <v>14.949402641206891</v>
      </c>
    </row>
    <row r="275" spans="1:8" ht="15">
      <c r="A275" s="1" t="s">
        <v>228</v>
      </c>
      <c r="B275" s="63" t="s">
        <v>382</v>
      </c>
      <c r="C275" s="116"/>
      <c r="D275" s="74">
        <v>2</v>
      </c>
      <c r="E275" s="113">
        <f>2*0.02+8.2</f>
        <v>8.239999999999998</v>
      </c>
      <c r="F275" s="73">
        <f t="shared" si="5"/>
        <v>9.063999999999998</v>
      </c>
      <c r="G275" s="32">
        <v>9.648583991047103</v>
      </c>
      <c r="H275" s="73">
        <v>11.256681322888287</v>
      </c>
    </row>
    <row r="276" spans="1:8" ht="15">
      <c r="A276" s="1" t="s">
        <v>229</v>
      </c>
      <c r="B276" s="63" t="s">
        <v>383</v>
      </c>
      <c r="C276" s="116"/>
      <c r="D276" s="74">
        <v>5</v>
      </c>
      <c r="E276" s="113">
        <f>5*0.02+20.05</f>
        <v>20.150000000000002</v>
      </c>
      <c r="F276" s="73">
        <f t="shared" si="5"/>
        <v>22.165000000000003</v>
      </c>
      <c r="G276" s="32">
        <v>23.646622822790295</v>
      </c>
      <c r="H276" s="73">
        <v>27.58772662658868</v>
      </c>
    </row>
    <row r="277" spans="1:8" ht="15">
      <c r="A277" s="1" t="s">
        <v>230</v>
      </c>
      <c r="B277" s="63" t="s">
        <v>384</v>
      </c>
      <c r="C277" s="116"/>
      <c r="D277" s="74">
        <v>2</v>
      </c>
      <c r="E277" s="72">
        <v>6.0875</v>
      </c>
      <c r="F277" s="73">
        <f t="shared" si="5"/>
        <v>6.696250000000001</v>
      </c>
      <c r="G277" s="32">
        <v>7.305</v>
      </c>
      <c r="H277" s="73">
        <v>8.5225</v>
      </c>
    </row>
    <row r="278" spans="1:8" ht="15">
      <c r="A278" s="1" t="s">
        <v>231</v>
      </c>
      <c r="B278" s="63" t="s">
        <v>385</v>
      </c>
      <c r="C278" s="116"/>
      <c r="D278" s="74">
        <v>5</v>
      </c>
      <c r="E278" s="72">
        <v>14.775</v>
      </c>
      <c r="F278" s="73">
        <f t="shared" si="5"/>
        <v>16.2525</v>
      </c>
      <c r="G278" s="32">
        <v>17.73</v>
      </c>
      <c r="H278" s="73">
        <v>20.685</v>
      </c>
    </row>
    <row r="279" spans="1:8" ht="15">
      <c r="A279" s="1" t="s">
        <v>232</v>
      </c>
      <c r="B279" s="63" t="s">
        <v>386</v>
      </c>
      <c r="C279" s="116"/>
      <c r="D279" s="74">
        <v>2</v>
      </c>
      <c r="E279" s="72">
        <v>4.362061440002251</v>
      </c>
      <c r="F279" s="73">
        <f t="shared" si="5"/>
        <v>4.798267584002477</v>
      </c>
      <c r="G279" s="32">
        <v>5.234473728002701</v>
      </c>
      <c r="H279" s="73">
        <v>6.106886016003151</v>
      </c>
    </row>
    <row r="280" spans="1:8" ht="15">
      <c r="A280" s="1" t="s">
        <v>233</v>
      </c>
      <c r="B280" s="63" t="s">
        <v>387</v>
      </c>
      <c r="C280" s="116"/>
      <c r="D280" s="74">
        <v>5</v>
      </c>
      <c r="E280" s="72">
        <v>10.606795095082534</v>
      </c>
      <c r="F280" s="73">
        <f t="shared" si="5"/>
        <v>11.667474604590788</v>
      </c>
      <c r="G280" s="32">
        <v>12.72815411409904</v>
      </c>
      <c r="H280" s="73">
        <v>14.849513133115547</v>
      </c>
    </row>
    <row r="281" spans="1:8" ht="15">
      <c r="A281" s="1" t="s">
        <v>234</v>
      </c>
      <c r="B281" s="63" t="s">
        <v>388</v>
      </c>
      <c r="C281" s="116"/>
      <c r="D281" s="74">
        <v>2</v>
      </c>
      <c r="E281" s="72">
        <v>5.36921433650762</v>
      </c>
      <c r="F281" s="73">
        <f t="shared" si="5"/>
        <v>5.906135770158383</v>
      </c>
      <c r="G281" s="32">
        <v>6.443057203809144</v>
      </c>
      <c r="H281" s="73">
        <v>7.516900071110668</v>
      </c>
    </row>
    <row r="282" spans="1:8" ht="15">
      <c r="A282" s="1" t="s">
        <v>235</v>
      </c>
      <c r="B282" s="63" t="s">
        <v>389</v>
      </c>
      <c r="C282" s="116"/>
      <c r="D282" s="74">
        <v>5</v>
      </c>
      <c r="E282" s="72">
        <v>13.124677336345956</v>
      </c>
      <c r="F282" s="73">
        <f t="shared" si="5"/>
        <v>14.437145069980552</v>
      </c>
      <c r="G282" s="32">
        <v>15.749612803615147</v>
      </c>
      <c r="H282" s="73">
        <v>18.374548270884336</v>
      </c>
    </row>
    <row r="283" spans="1:8" ht="15">
      <c r="A283" s="1" t="s">
        <v>236</v>
      </c>
      <c r="B283" s="63" t="s">
        <v>390</v>
      </c>
      <c r="C283" s="116"/>
      <c r="D283" s="74">
        <v>2</v>
      </c>
      <c r="E283" s="72">
        <v>4.8375</v>
      </c>
      <c r="F283" s="73">
        <f t="shared" si="5"/>
        <v>5.321250000000001</v>
      </c>
      <c r="G283" s="32">
        <v>5.805</v>
      </c>
      <c r="H283" s="73">
        <v>6.7725</v>
      </c>
    </row>
    <row r="284" spans="1:8" ht="15">
      <c r="A284" s="1" t="s">
        <v>237</v>
      </c>
      <c r="B284" s="63" t="s">
        <v>391</v>
      </c>
      <c r="C284" s="116"/>
      <c r="D284" s="74">
        <v>5</v>
      </c>
      <c r="E284" s="72">
        <v>11.85</v>
      </c>
      <c r="F284" s="73">
        <f t="shared" si="5"/>
        <v>13.035</v>
      </c>
      <c r="G284" s="32">
        <v>14.22</v>
      </c>
      <c r="H284" s="73">
        <v>16.59</v>
      </c>
    </row>
    <row r="285" spans="1:8" ht="15">
      <c r="A285" s="1" t="s">
        <v>238</v>
      </c>
      <c r="B285" s="63" t="s">
        <v>392</v>
      </c>
      <c r="C285" s="116"/>
      <c r="D285" s="74">
        <v>2</v>
      </c>
      <c r="E285" s="72">
        <v>4.341867809582652</v>
      </c>
      <c r="F285" s="73">
        <f t="shared" si="5"/>
        <v>4.776054590540918</v>
      </c>
      <c r="G285" s="32">
        <v>5.210241371499182</v>
      </c>
      <c r="H285" s="73">
        <v>6.078614933415713</v>
      </c>
    </row>
    <row r="286" spans="1:8" ht="15">
      <c r="A286" s="1" t="s">
        <v>239</v>
      </c>
      <c r="B286" s="63" t="s">
        <v>393</v>
      </c>
      <c r="C286" s="116"/>
      <c r="D286" s="74">
        <v>5</v>
      </c>
      <c r="E286" s="72">
        <v>10.556355225755116</v>
      </c>
      <c r="F286" s="73">
        <f t="shared" si="5"/>
        <v>11.611990748330628</v>
      </c>
      <c r="G286" s="32">
        <v>12.667626270906139</v>
      </c>
      <c r="H286" s="73">
        <v>14.778897316057162</v>
      </c>
    </row>
    <row r="287" spans="1:8" ht="15">
      <c r="A287" s="1" t="s">
        <v>240</v>
      </c>
      <c r="B287" s="63" t="s">
        <v>394</v>
      </c>
      <c r="C287" s="116"/>
      <c r="D287" s="74">
        <v>2</v>
      </c>
      <c r="E287" s="72">
        <v>4.451783402129263</v>
      </c>
      <c r="F287" s="73">
        <f t="shared" si="5"/>
        <v>4.89696174234219</v>
      </c>
      <c r="G287" s="32">
        <v>5.342140082555115</v>
      </c>
      <c r="H287" s="73">
        <v>6.2324967629809676</v>
      </c>
    </row>
    <row r="288" spans="1:8" ht="15">
      <c r="A288" s="1" t="s">
        <v>241</v>
      </c>
      <c r="B288" s="63" t="s">
        <v>395</v>
      </c>
      <c r="C288" s="116"/>
      <c r="D288" s="74">
        <v>5</v>
      </c>
      <c r="E288" s="72">
        <v>10.831144207121646</v>
      </c>
      <c r="F288" s="73">
        <f t="shared" si="5"/>
        <v>11.914258627833812</v>
      </c>
      <c r="G288" s="32">
        <v>12.997373048545976</v>
      </c>
      <c r="H288" s="73">
        <v>15.163601889970304</v>
      </c>
    </row>
    <row r="289" spans="1:8" ht="15">
      <c r="A289" s="1" t="s">
        <v>242</v>
      </c>
      <c r="B289" s="63" t="s">
        <v>396</v>
      </c>
      <c r="C289" s="116"/>
      <c r="D289" s="74">
        <v>2</v>
      </c>
      <c r="E289" s="72">
        <v>7.4375</v>
      </c>
      <c r="F289" s="73">
        <f t="shared" si="5"/>
        <v>8.18125</v>
      </c>
      <c r="G289" s="32">
        <v>8.925</v>
      </c>
      <c r="H289" s="73">
        <v>10.4125</v>
      </c>
    </row>
    <row r="290" spans="1:8" ht="15">
      <c r="A290" s="1" t="s">
        <v>243</v>
      </c>
      <c r="B290" s="63" t="s">
        <v>397</v>
      </c>
      <c r="C290" s="116"/>
      <c r="D290" s="74">
        <v>5</v>
      </c>
      <c r="E290" s="72">
        <v>18.65</v>
      </c>
      <c r="F290" s="73">
        <f t="shared" si="5"/>
        <v>20.515</v>
      </c>
      <c r="G290" s="32">
        <v>22.38</v>
      </c>
      <c r="H290" s="73">
        <v>26.11</v>
      </c>
    </row>
    <row r="291" spans="1:8" ht="15">
      <c r="A291" s="1" t="s">
        <v>244</v>
      </c>
      <c r="B291" s="63" t="s">
        <v>398</v>
      </c>
      <c r="C291" s="116"/>
      <c r="D291" s="74">
        <v>2</v>
      </c>
      <c r="E291" s="72">
        <f>7.55+2*0.02</f>
        <v>7.59</v>
      </c>
      <c r="F291" s="73">
        <f t="shared" si="5"/>
        <v>8.349</v>
      </c>
      <c r="G291" s="32">
        <v>9.04462622657345</v>
      </c>
      <c r="H291" s="73">
        <v>10.55206393100236</v>
      </c>
    </row>
    <row r="292" spans="1:8" ht="15">
      <c r="A292" s="1" t="s">
        <v>245</v>
      </c>
      <c r="B292" s="63" t="s">
        <v>399</v>
      </c>
      <c r="C292" s="116"/>
      <c r="D292" s="74">
        <v>5</v>
      </c>
      <c r="E292" s="72">
        <v>18.65</v>
      </c>
      <c r="F292" s="73">
        <f t="shared" si="5"/>
        <v>20.515</v>
      </c>
      <c r="G292" s="32">
        <v>22.38</v>
      </c>
      <c r="H292" s="73">
        <v>26.11</v>
      </c>
    </row>
  </sheetData>
  <sheetProtection/>
  <mergeCells count="11">
    <mergeCell ref="C66:C98"/>
    <mergeCell ref="B7:D7"/>
    <mergeCell ref="B6:G6"/>
    <mergeCell ref="C35:C38"/>
    <mergeCell ref="C64:C65"/>
    <mergeCell ref="C233:C259"/>
    <mergeCell ref="C261:C292"/>
    <mergeCell ref="C100:C182"/>
    <mergeCell ref="C193:C194"/>
    <mergeCell ref="C200:C203"/>
    <mergeCell ref="C208:C232"/>
  </mergeCells>
  <hyperlinks>
    <hyperlink ref="C4" r:id="rId1" display="www.akademia33.ru"/>
  </hyperlinks>
  <printOptions/>
  <pageMargins left="0.984251968503937" right="0.15748031496062992" top="0.2755905511811024" bottom="0.5118110236220472" header="0.15748031496062992" footer="0.15748031496062992"/>
  <pageSetup fitToHeight="6" fitToWidth="1" horizontalDpi="600" verticalDpi="600" orientation="portrait" paperSize="9" scale="75" r:id="rId3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="85" zoomScaleNormal="85" zoomScalePageLayoutView="0" workbookViewId="0" topLeftCell="A1">
      <pane xSplit="4" ySplit="8" topLeftCell="E59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J71" sqref="J71"/>
    </sheetView>
  </sheetViews>
  <sheetFormatPr defaultColWidth="9.140625" defaultRowHeight="15"/>
  <cols>
    <col min="1" max="1" width="9.140625" style="1" hidden="1" customWidth="1"/>
    <col min="2" max="2" width="40.140625" style="20" bestFit="1" customWidth="1"/>
    <col min="3" max="3" width="40.140625" style="20" customWidth="1"/>
    <col min="4" max="4" width="12.8515625" style="19" customWidth="1"/>
    <col min="5" max="6" width="11.8515625" style="1" customWidth="1"/>
    <col min="7" max="7" width="15.28125" style="1" hidden="1" customWidth="1"/>
    <col min="8" max="8" width="13.00390625" style="1" hidden="1" customWidth="1"/>
    <col min="9" max="9" width="18.8515625" style="1" customWidth="1"/>
    <col min="10" max="10" width="19.7109375" style="1" customWidth="1"/>
    <col min="11" max="16384" width="9.140625" style="1" customWidth="1"/>
  </cols>
  <sheetData>
    <row r="1" spans="3:5" ht="18.75">
      <c r="C1" s="78" t="s">
        <v>846</v>
      </c>
      <c r="D1" s="18"/>
      <c r="E1" s="15"/>
    </row>
    <row r="2" spans="3:5" ht="12.75" customHeight="1">
      <c r="C2" t="s">
        <v>12</v>
      </c>
      <c r="D2" s="18"/>
      <c r="E2" s="15" t="s">
        <v>13</v>
      </c>
    </row>
    <row r="3" spans="2:5" ht="15">
      <c r="B3" s="21"/>
      <c r="C3" s="130" t="s">
        <v>14</v>
      </c>
      <c r="D3" s="25"/>
      <c r="E3" s="3"/>
    </row>
    <row r="4" spans="2:6" ht="15">
      <c r="B4" s="21"/>
      <c r="C4"/>
      <c r="D4" s="132" t="s">
        <v>855</v>
      </c>
      <c r="E4" s="133">
        <v>42</v>
      </c>
      <c r="F4" s="134" t="s">
        <v>866</v>
      </c>
    </row>
    <row r="5" spans="2:5" ht="15">
      <c r="B5" s="21"/>
      <c r="C5" s="21"/>
      <c r="D5" s="18"/>
      <c r="E5" s="3"/>
    </row>
    <row r="6" spans="2:8" ht="15.75" customHeight="1">
      <c r="B6" s="171" t="s">
        <v>736</v>
      </c>
      <c r="C6" s="172"/>
      <c r="D6" s="172"/>
      <c r="E6" s="172"/>
      <c r="F6" s="172"/>
      <c r="G6" s="172"/>
      <c r="H6" s="172"/>
    </row>
    <row r="7" spans="2:10" ht="18.75" customHeight="1" thickBot="1">
      <c r="B7" s="173" t="s">
        <v>719</v>
      </c>
      <c r="C7" s="174"/>
      <c r="D7" s="174"/>
      <c r="E7" s="174"/>
      <c r="F7" s="174"/>
      <c r="G7" s="174"/>
      <c r="H7" s="174"/>
      <c r="I7" s="175" t="s">
        <v>864</v>
      </c>
      <c r="J7" s="175"/>
    </row>
    <row r="8" spans="2:10" ht="37.5" customHeight="1" thickBot="1">
      <c r="B8" s="33" t="s">
        <v>26</v>
      </c>
      <c r="C8" s="34"/>
      <c r="D8" s="34" t="s">
        <v>27</v>
      </c>
      <c r="E8" s="99" t="s">
        <v>845</v>
      </c>
      <c r="F8" s="100" t="s">
        <v>854</v>
      </c>
      <c r="G8" s="75" t="s">
        <v>819</v>
      </c>
      <c r="H8" s="95" t="s">
        <v>818</v>
      </c>
      <c r="I8" s="101" t="s">
        <v>867</v>
      </c>
      <c r="J8" s="101" t="s">
        <v>865</v>
      </c>
    </row>
    <row r="9" spans="1:10" ht="15">
      <c r="A9" s="1" t="s">
        <v>560</v>
      </c>
      <c r="B9" s="24" t="s">
        <v>136</v>
      </c>
      <c r="C9" s="164"/>
      <c r="D9" s="35">
        <v>15</v>
      </c>
      <c r="E9" s="85">
        <v>30.098072916666666</v>
      </c>
      <c r="F9" s="40">
        <v>33.107880208333334</v>
      </c>
      <c r="G9" s="40">
        <v>36.117687499999995</v>
      </c>
      <c r="H9" s="96">
        <v>42.13730208333333</v>
      </c>
      <c r="I9" s="98">
        <f>E9*$E$4</f>
        <v>1264.1190625</v>
      </c>
      <c r="J9" s="98">
        <f>F9*$E$4</f>
        <v>1390.53096875</v>
      </c>
    </row>
    <row r="10" spans="1:10" ht="15">
      <c r="A10" s="1" t="s">
        <v>561</v>
      </c>
      <c r="B10" s="27" t="s">
        <v>137</v>
      </c>
      <c r="C10" s="165"/>
      <c r="D10" s="36">
        <v>25</v>
      </c>
      <c r="E10" s="86">
        <v>47.74483283926219</v>
      </c>
      <c r="F10" s="40">
        <v>52.51931612318841</v>
      </c>
      <c r="G10" s="40">
        <v>57.293799407114626</v>
      </c>
      <c r="H10" s="96">
        <v>66.84276597496707</v>
      </c>
      <c r="I10" s="98">
        <f aca="true" t="shared" si="0" ref="I10:I72">E10*$E$4</f>
        <v>2005.282979249012</v>
      </c>
      <c r="J10" s="98">
        <f aca="true" t="shared" si="1" ref="J10:J72">F10*$E$4</f>
        <v>2205.8112771739134</v>
      </c>
    </row>
    <row r="11" spans="1:10" ht="15">
      <c r="A11" s="1" t="s">
        <v>562</v>
      </c>
      <c r="B11" s="24" t="s">
        <v>139</v>
      </c>
      <c r="C11" s="48"/>
      <c r="D11" s="37">
        <v>0.9</v>
      </c>
      <c r="E11" s="86">
        <v>1.76</v>
      </c>
      <c r="F11" s="40">
        <v>1.9360000000000002</v>
      </c>
      <c r="G11" s="40">
        <v>2.112</v>
      </c>
      <c r="H11" s="96">
        <v>2.464</v>
      </c>
      <c r="I11" s="98">
        <f t="shared" si="0"/>
        <v>73.92</v>
      </c>
      <c r="J11" s="98">
        <f t="shared" si="1"/>
        <v>81.31200000000001</v>
      </c>
    </row>
    <row r="12" spans="1:10" ht="22.5">
      <c r="A12" s="1" t="s">
        <v>563</v>
      </c>
      <c r="B12" s="24" t="s">
        <v>140</v>
      </c>
      <c r="C12" s="50" t="s">
        <v>770</v>
      </c>
      <c r="D12" s="35">
        <v>1</v>
      </c>
      <c r="E12" s="86">
        <v>13.9875</v>
      </c>
      <c r="F12" s="40">
        <f aca="true" t="shared" si="2" ref="F12:F18">E12*1.1</f>
        <v>15.386250000000002</v>
      </c>
      <c r="G12" s="40">
        <v>16.785</v>
      </c>
      <c r="H12" s="96">
        <v>19.5825</v>
      </c>
      <c r="I12" s="98">
        <f t="shared" si="0"/>
        <v>587.475</v>
      </c>
      <c r="J12" s="98">
        <f>F12*$E$4</f>
        <v>646.2225000000001</v>
      </c>
    </row>
    <row r="13" spans="1:10" ht="15">
      <c r="A13" s="1" t="s">
        <v>564</v>
      </c>
      <c r="B13" s="24" t="s">
        <v>141</v>
      </c>
      <c r="C13" s="48"/>
      <c r="D13" s="35">
        <v>1</v>
      </c>
      <c r="E13" s="109">
        <f>2.76+0.02</f>
        <v>2.78</v>
      </c>
      <c r="F13" s="40">
        <f t="shared" si="2"/>
        <v>3.058</v>
      </c>
      <c r="G13" s="40">
        <v>3.21</v>
      </c>
      <c r="H13" s="96">
        <v>3.745</v>
      </c>
      <c r="I13" s="98">
        <f t="shared" si="0"/>
        <v>116.75999999999999</v>
      </c>
      <c r="J13" s="98">
        <f t="shared" si="1"/>
        <v>128.43599999999998</v>
      </c>
    </row>
    <row r="14" spans="1:10" ht="15">
      <c r="A14" s="1" t="s">
        <v>565</v>
      </c>
      <c r="B14" s="24" t="s">
        <v>142</v>
      </c>
      <c r="C14" s="150" t="s">
        <v>771</v>
      </c>
      <c r="D14" s="35">
        <v>5</v>
      </c>
      <c r="E14" s="109">
        <f>12.44+5*0.02</f>
        <v>12.54</v>
      </c>
      <c r="F14" s="40">
        <f t="shared" si="2"/>
        <v>13.794</v>
      </c>
      <c r="G14" s="40">
        <v>14.955</v>
      </c>
      <c r="H14" s="96">
        <v>17.4475</v>
      </c>
      <c r="I14" s="98">
        <f t="shared" si="0"/>
        <v>526.68</v>
      </c>
      <c r="J14" s="98">
        <f t="shared" si="1"/>
        <v>579.3480000000001</v>
      </c>
    </row>
    <row r="15" spans="1:10" ht="15">
      <c r="A15" s="1" t="s">
        <v>566</v>
      </c>
      <c r="B15" s="24" t="s">
        <v>143</v>
      </c>
      <c r="C15" s="151"/>
      <c r="D15" s="35">
        <v>25</v>
      </c>
      <c r="E15" s="109">
        <f>25*0.02+54.99</f>
        <v>55.49</v>
      </c>
      <c r="F15" s="40">
        <f t="shared" si="2"/>
        <v>61.03900000000001</v>
      </c>
      <c r="G15" s="40">
        <v>66.615</v>
      </c>
      <c r="H15" s="96">
        <v>77.7175</v>
      </c>
      <c r="I15" s="98">
        <f t="shared" si="0"/>
        <v>2330.58</v>
      </c>
      <c r="J15" s="98">
        <f t="shared" si="1"/>
        <v>2563.6380000000004</v>
      </c>
    </row>
    <row r="16" spans="1:10" ht="15">
      <c r="A16" s="1" t="s">
        <v>567</v>
      </c>
      <c r="B16" s="24" t="s">
        <v>144</v>
      </c>
      <c r="C16" s="150" t="s">
        <v>772</v>
      </c>
      <c r="D16" s="35">
        <v>5</v>
      </c>
      <c r="E16" s="109">
        <f>5*0.02+62.18</f>
        <v>62.28</v>
      </c>
      <c r="F16" s="40">
        <f t="shared" si="2"/>
        <v>68.50800000000001</v>
      </c>
      <c r="G16" s="40">
        <v>72.64788383838385</v>
      </c>
      <c r="H16" s="96">
        <v>84.75586447811449</v>
      </c>
      <c r="I16" s="98">
        <f t="shared" si="0"/>
        <v>2615.76</v>
      </c>
      <c r="J16" s="98">
        <f t="shared" si="1"/>
        <v>2877.3360000000002</v>
      </c>
    </row>
    <row r="17" spans="1:10" ht="15.75" thickBot="1">
      <c r="A17" s="1" t="s">
        <v>568</v>
      </c>
      <c r="B17" s="24" t="s">
        <v>145</v>
      </c>
      <c r="C17" s="154"/>
      <c r="D17" s="35">
        <v>10</v>
      </c>
      <c r="E17" s="109">
        <f>10*0.02+122.61</f>
        <v>122.81</v>
      </c>
      <c r="F17" s="40">
        <f t="shared" si="2"/>
        <v>135.091</v>
      </c>
      <c r="G17" s="40">
        <v>143.1567465564738</v>
      </c>
      <c r="H17" s="96">
        <v>167.01620431588609</v>
      </c>
      <c r="I17" s="98">
        <f t="shared" si="0"/>
        <v>5158.02</v>
      </c>
      <c r="J17" s="98">
        <f t="shared" si="1"/>
        <v>5673.822</v>
      </c>
    </row>
    <row r="18" spans="1:10" ht="11.25" customHeight="1">
      <c r="A18" s="1" t="s">
        <v>569</v>
      </c>
      <c r="B18" s="22" t="s">
        <v>570</v>
      </c>
      <c r="C18" s="152" t="s">
        <v>773</v>
      </c>
      <c r="D18" s="162" t="s">
        <v>146</v>
      </c>
      <c r="E18" s="157">
        <v>92.093535</v>
      </c>
      <c r="F18" s="169">
        <f t="shared" si="2"/>
        <v>101.30288850000001</v>
      </c>
      <c r="G18" s="169">
        <v>110.512242</v>
      </c>
      <c r="H18" s="170">
        <v>128.930949</v>
      </c>
      <c r="I18" s="176">
        <f t="shared" si="0"/>
        <v>3867.9284700000003</v>
      </c>
      <c r="J18" s="176">
        <f t="shared" si="1"/>
        <v>4254.721317</v>
      </c>
    </row>
    <row r="19" spans="1:10" ht="12" customHeight="1" thickBot="1">
      <c r="A19" s="1" t="s">
        <v>571</v>
      </c>
      <c r="B19" s="23" t="s">
        <v>572</v>
      </c>
      <c r="C19" s="154"/>
      <c r="D19" s="163" t="s">
        <v>146</v>
      </c>
      <c r="E19" s="158">
        <v>0</v>
      </c>
      <c r="F19" s="169"/>
      <c r="G19" s="169"/>
      <c r="H19" s="170"/>
      <c r="I19" s="177"/>
      <c r="J19" s="177"/>
    </row>
    <row r="20" spans="1:10" ht="57" thickBot="1">
      <c r="A20" s="1" t="s">
        <v>573</v>
      </c>
      <c r="B20" s="24" t="s">
        <v>147</v>
      </c>
      <c r="C20" s="51" t="s">
        <v>774</v>
      </c>
      <c r="D20" s="37">
        <v>20</v>
      </c>
      <c r="E20" s="87">
        <f>20*0.02+212.91</f>
        <v>213.31</v>
      </c>
      <c r="F20" s="40">
        <f>E20*1.1</f>
        <v>234.64100000000002</v>
      </c>
      <c r="G20" s="40">
        <v>250.37407142857143</v>
      </c>
      <c r="H20" s="96">
        <v>292.1030833333333</v>
      </c>
      <c r="I20" s="98">
        <f t="shared" si="0"/>
        <v>8959.02</v>
      </c>
      <c r="J20" s="98">
        <f t="shared" si="1"/>
        <v>9854.922</v>
      </c>
    </row>
    <row r="21" spans="1:10" ht="33" customHeight="1" thickBot="1">
      <c r="A21" s="1" t="s">
        <v>574</v>
      </c>
      <c r="B21" s="22" t="s">
        <v>9</v>
      </c>
      <c r="C21" s="155" t="s">
        <v>775</v>
      </c>
      <c r="D21" s="162" t="s">
        <v>148</v>
      </c>
      <c r="E21" s="122">
        <f>31.25*0.02+55.96</f>
        <v>56.585</v>
      </c>
      <c r="F21" s="120">
        <f>E21*1.1</f>
        <v>62.243500000000004</v>
      </c>
      <c r="G21" s="169">
        <v>68.094</v>
      </c>
      <c r="H21" s="170">
        <v>79.443</v>
      </c>
      <c r="I21" s="103">
        <f>E21*$E$4</f>
        <v>2376.57</v>
      </c>
      <c r="J21" s="103">
        <f t="shared" si="1"/>
        <v>2614.2270000000003</v>
      </c>
    </row>
    <row r="22" spans="1:10" ht="33" customHeight="1" thickBot="1">
      <c r="A22" s="1" t="s">
        <v>575</v>
      </c>
      <c r="B22" s="22" t="s">
        <v>10</v>
      </c>
      <c r="C22" s="156"/>
      <c r="D22" s="163" t="s">
        <v>148</v>
      </c>
      <c r="E22" s="122">
        <f>31.25*0.02+70.43</f>
        <v>71.055</v>
      </c>
      <c r="F22" s="121">
        <f>E22*1.1</f>
        <v>78.16050000000001</v>
      </c>
      <c r="G22" s="169"/>
      <c r="H22" s="170"/>
      <c r="I22" s="104"/>
      <c r="J22" s="104">
        <f t="shared" si="1"/>
        <v>3282.7410000000004</v>
      </c>
    </row>
    <row r="23" spans="1:10" ht="11.25" customHeight="1">
      <c r="A23" s="1" t="s">
        <v>576</v>
      </c>
      <c r="B23" s="22" t="s">
        <v>577</v>
      </c>
      <c r="C23" s="152" t="s">
        <v>776</v>
      </c>
      <c r="D23" s="162" t="s">
        <v>149</v>
      </c>
      <c r="E23" s="157">
        <f>45.3+2.5*0.02</f>
        <v>45.349999999999994</v>
      </c>
      <c r="F23" s="169">
        <f>E23*1.1</f>
        <v>49.885</v>
      </c>
      <c r="G23" s="169">
        <v>54.43573518515999</v>
      </c>
      <c r="H23" s="170">
        <v>63.508357716019994</v>
      </c>
      <c r="I23" s="176">
        <f t="shared" si="0"/>
        <v>1904.6999999999998</v>
      </c>
      <c r="J23" s="176">
        <f t="shared" si="1"/>
        <v>2095.17</v>
      </c>
    </row>
    <row r="24" spans="1:10" ht="12" customHeight="1" thickBot="1">
      <c r="A24" s="1" t="s">
        <v>578</v>
      </c>
      <c r="B24" s="23" t="s">
        <v>579</v>
      </c>
      <c r="C24" s="153"/>
      <c r="D24" s="163" t="s">
        <v>149</v>
      </c>
      <c r="E24" s="158" t="e">
        <v>#DIV/0!</v>
      </c>
      <c r="F24" s="169"/>
      <c r="G24" s="169"/>
      <c r="H24" s="170"/>
      <c r="I24" s="177"/>
      <c r="J24" s="177"/>
    </row>
    <row r="25" spans="1:10" ht="11.25" customHeight="1">
      <c r="A25" s="1" t="s">
        <v>580</v>
      </c>
      <c r="B25" s="22" t="s">
        <v>581</v>
      </c>
      <c r="C25" s="153"/>
      <c r="D25" s="162" t="s">
        <v>150</v>
      </c>
      <c r="E25" s="157">
        <f>67.1+4*0.02</f>
        <v>67.17999999999999</v>
      </c>
      <c r="F25" s="169">
        <f>E25*1.1</f>
        <v>73.898</v>
      </c>
      <c r="G25" s="169">
        <v>80.63601769356</v>
      </c>
      <c r="H25" s="170">
        <v>94.07535397582001</v>
      </c>
      <c r="I25" s="176">
        <f t="shared" si="0"/>
        <v>2821.5599999999995</v>
      </c>
      <c r="J25" s="176">
        <f t="shared" si="1"/>
        <v>3103.716</v>
      </c>
    </row>
    <row r="26" spans="1:10" ht="12" customHeight="1" thickBot="1">
      <c r="A26" s="1" t="s">
        <v>582</v>
      </c>
      <c r="B26" s="23" t="s">
        <v>583</v>
      </c>
      <c r="C26" s="154"/>
      <c r="D26" s="163" t="s">
        <v>150</v>
      </c>
      <c r="E26" s="158" t="e">
        <v>#DIV/0!</v>
      </c>
      <c r="F26" s="169"/>
      <c r="G26" s="169"/>
      <c r="H26" s="170"/>
      <c r="I26" s="177"/>
      <c r="J26" s="177"/>
    </row>
    <row r="27" spans="1:10" ht="11.25" customHeight="1" hidden="1">
      <c r="A27" s="1" t="s">
        <v>584</v>
      </c>
      <c r="B27" s="22" t="s">
        <v>585</v>
      </c>
      <c r="C27" s="152" t="s">
        <v>777</v>
      </c>
      <c r="D27" s="162" t="s">
        <v>138</v>
      </c>
      <c r="E27" s="157">
        <v>27.6903062108</v>
      </c>
      <c r="F27" s="169">
        <v>30.45933683188</v>
      </c>
      <c r="G27" s="169">
        <v>33.22836745296</v>
      </c>
      <c r="H27" s="170">
        <v>38.76642869512</v>
      </c>
      <c r="I27" s="176">
        <f t="shared" si="0"/>
        <v>1162.9928608536</v>
      </c>
      <c r="J27" s="176">
        <f t="shared" si="1"/>
        <v>1279.29214693896</v>
      </c>
    </row>
    <row r="28" spans="1:10" ht="12" customHeight="1" hidden="1" thickBot="1">
      <c r="A28" s="1" t="s">
        <v>586</v>
      </c>
      <c r="B28" s="23" t="s">
        <v>587</v>
      </c>
      <c r="C28" s="153"/>
      <c r="D28" s="163" t="s">
        <v>138</v>
      </c>
      <c r="E28" s="158" t="e">
        <v>#DIV/0!</v>
      </c>
      <c r="F28" s="169"/>
      <c r="G28" s="169"/>
      <c r="H28" s="170"/>
      <c r="I28" s="177"/>
      <c r="J28" s="177"/>
    </row>
    <row r="29" spans="1:10" ht="11.25" customHeight="1" hidden="1">
      <c r="A29" s="1" t="s">
        <v>588</v>
      </c>
      <c r="B29" s="22" t="s">
        <v>589</v>
      </c>
      <c r="C29" s="153"/>
      <c r="D29" s="162" t="s">
        <v>259</v>
      </c>
      <c r="E29" s="157">
        <v>118.84478535354</v>
      </c>
      <c r="F29" s="169">
        <v>130.72926388889402</v>
      </c>
      <c r="G29" s="169">
        <v>142.613742424248</v>
      </c>
      <c r="H29" s="170">
        <v>166.382699494956</v>
      </c>
      <c r="I29" s="176">
        <f t="shared" si="0"/>
        <v>4991.48098484868</v>
      </c>
      <c r="J29" s="176">
        <f t="shared" si="1"/>
        <v>5490.629083333549</v>
      </c>
    </row>
    <row r="30" spans="1:10" ht="12" customHeight="1" hidden="1" thickBot="1">
      <c r="A30" s="1" t="s">
        <v>590</v>
      </c>
      <c r="B30" s="23" t="s">
        <v>591</v>
      </c>
      <c r="C30" s="154"/>
      <c r="D30" s="163" t="s">
        <v>259</v>
      </c>
      <c r="E30" s="158" t="e">
        <v>#DIV/0!</v>
      </c>
      <c r="F30" s="169"/>
      <c r="G30" s="169"/>
      <c r="H30" s="170"/>
      <c r="I30" s="177"/>
      <c r="J30" s="177"/>
    </row>
    <row r="31" spans="1:10" ht="34.5" thickBot="1">
      <c r="A31" s="1" t="s">
        <v>592</v>
      </c>
      <c r="B31" s="42" t="s">
        <v>593</v>
      </c>
      <c r="C31" s="52" t="s">
        <v>778</v>
      </c>
      <c r="D31" s="43" t="s">
        <v>674</v>
      </c>
      <c r="E31" s="85">
        <f>8.24+0.02</f>
        <v>8.26</v>
      </c>
      <c r="F31" s="40">
        <f>E31*1.1</f>
        <v>9.086</v>
      </c>
      <c r="G31" s="40">
        <v>9.614119696969693</v>
      </c>
      <c r="H31" s="96">
        <v>11.216472979797974</v>
      </c>
      <c r="I31" s="98">
        <f t="shared" si="0"/>
        <v>346.92</v>
      </c>
      <c r="J31" s="98">
        <f t="shared" si="1"/>
        <v>381.612</v>
      </c>
    </row>
    <row r="32" spans="1:10" ht="33.75">
      <c r="A32" s="1" t="s">
        <v>594</v>
      </c>
      <c r="B32" s="41" t="s">
        <v>151</v>
      </c>
      <c r="C32" s="53" t="s">
        <v>779</v>
      </c>
      <c r="D32" s="54" t="s">
        <v>737</v>
      </c>
      <c r="E32" s="88">
        <f>90.78+8*0.02</f>
        <v>90.94</v>
      </c>
      <c r="F32" s="40">
        <f>E32*1.1</f>
        <v>100.034</v>
      </c>
      <c r="G32" s="40">
        <v>119.82483333333336</v>
      </c>
      <c r="H32" s="96">
        <v>139.7956388888889</v>
      </c>
      <c r="I32" s="98">
        <f t="shared" si="0"/>
        <v>3819.48</v>
      </c>
      <c r="J32" s="98">
        <f t="shared" si="1"/>
        <v>4201.428</v>
      </c>
    </row>
    <row r="33" spans="1:10" ht="15">
      <c r="A33" s="1" t="s">
        <v>595</v>
      </c>
      <c r="B33" s="2" t="s">
        <v>152</v>
      </c>
      <c r="C33" s="49"/>
      <c r="D33" s="38">
        <v>0.375</v>
      </c>
      <c r="E33" s="85">
        <f>16.56+0.02</f>
        <v>16.58</v>
      </c>
      <c r="F33" s="40">
        <f aca="true" t="shared" si="3" ref="F33:F60">E33*1.1</f>
        <v>18.238</v>
      </c>
      <c r="G33" s="40">
        <v>19.88625</v>
      </c>
      <c r="H33" s="96">
        <v>23.200625</v>
      </c>
      <c r="I33" s="98">
        <f t="shared" si="0"/>
        <v>696.3599999999999</v>
      </c>
      <c r="J33" s="98">
        <f t="shared" si="1"/>
        <v>765.996</v>
      </c>
    </row>
    <row r="34" spans="1:10" ht="56.25">
      <c r="A34" s="1" t="s">
        <v>596</v>
      </c>
      <c r="B34" s="24" t="s">
        <v>153</v>
      </c>
      <c r="C34" s="47" t="s">
        <v>781</v>
      </c>
      <c r="D34" s="37">
        <v>5.5</v>
      </c>
      <c r="E34" s="85">
        <f>17.69+5.5*0.02</f>
        <v>17.8</v>
      </c>
      <c r="F34" s="40">
        <f t="shared" si="3"/>
        <v>19.580000000000002</v>
      </c>
      <c r="G34" s="40">
        <v>20.505</v>
      </c>
      <c r="H34" s="96">
        <v>23.9225</v>
      </c>
      <c r="I34" s="98">
        <f t="shared" si="0"/>
        <v>747.6</v>
      </c>
      <c r="J34" s="98">
        <f t="shared" si="1"/>
        <v>822.3600000000001</v>
      </c>
    </row>
    <row r="35" spans="1:10" ht="15">
      <c r="A35" s="1" t="s">
        <v>597</v>
      </c>
      <c r="B35" s="24" t="s">
        <v>154</v>
      </c>
      <c r="C35" s="150" t="s">
        <v>782</v>
      </c>
      <c r="D35" s="35">
        <v>25</v>
      </c>
      <c r="E35" s="109">
        <f>25*0.02+39.03</f>
        <v>39.53</v>
      </c>
      <c r="F35" s="40">
        <f t="shared" si="3"/>
        <v>43.483000000000004</v>
      </c>
      <c r="G35" s="40">
        <v>47.58</v>
      </c>
      <c r="H35" s="96">
        <v>55.51</v>
      </c>
      <c r="I35" s="98">
        <f t="shared" si="0"/>
        <v>1660.26</v>
      </c>
      <c r="J35" s="98">
        <f t="shared" si="1"/>
        <v>1826.286</v>
      </c>
    </row>
    <row r="36" spans="1:10" ht="15">
      <c r="A36" s="1" t="s">
        <v>598</v>
      </c>
      <c r="B36" s="24" t="s">
        <v>155</v>
      </c>
      <c r="C36" s="151"/>
      <c r="D36" s="35">
        <v>1</v>
      </c>
      <c r="E36" s="109">
        <f>0.02+2.23</f>
        <v>2.25</v>
      </c>
      <c r="F36" s="40">
        <f t="shared" si="3"/>
        <v>2.475</v>
      </c>
      <c r="G36" s="40">
        <v>2.7</v>
      </c>
      <c r="H36" s="96">
        <v>3.15</v>
      </c>
      <c r="I36" s="98">
        <f t="shared" si="0"/>
        <v>94.5</v>
      </c>
      <c r="J36" s="98">
        <f t="shared" si="1"/>
        <v>103.95</v>
      </c>
    </row>
    <row r="37" spans="1:10" ht="22.5">
      <c r="A37" s="1" t="s">
        <v>599</v>
      </c>
      <c r="B37" s="2" t="s">
        <v>156</v>
      </c>
      <c r="C37" s="56" t="s">
        <v>784</v>
      </c>
      <c r="D37" s="35" t="s">
        <v>737</v>
      </c>
      <c r="E37" s="109">
        <f>0.02+12.59</f>
        <v>12.61</v>
      </c>
      <c r="F37" s="40">
        <f t="shared" si="3"/>
        <v>13.871</v>
      </c>
      <c r="G37" s="40">
        <v>15.12</v>
      </c>
      <c r="H37" s="96">
        <v>17.64</v>
      </c>
      <c r="I37" s="98">
        <f t="shared" si="0"/>
        <v>529.62</v>
      </c>
      <c r="J37" s="98">
        <f t="shared" si="1"/>
        <v>582.582</v>
      </c>
    </row>
    <row r="38" spans="1:10" ht="15">
      <c r="A38" s="1" t="s">
        <v>600</v>
      </c>
      <c r="B38" s="24" t="s">
        <v>157</v>
      </c>
      <c r="C38" s="143" t="s">
        <v>783</v>
      </c>
      <c r="D38" s="35" t="s">
        <v>737</v>
      </c>
      <c r="E38" s="109">
        <f>0.02+92.5</f>
        <v>92.52</v>
      </c>
      <c r="F38" s="40">
        <f t="shared" si="3"/>
        <v>101.772</v>
      </c>
      <c r="G38" s="40">
        <v>122.1</v>
      </c>
      <c r="H38" s="96">
        <v>142.45</v>
      </c>
      <c r="I38" s="98">
        <f t="shared" si="0"/>
        <v>3885.8399999999997</v>
      </c>
      <c r="J38" s="98">
        <f t="shared" si="1"/>
        <v>4274.424</v>
      </c>
    </row>
    <row r="39" spans="1:10" ht="15">
      <c r="A39" s="1" t="s">
        <v>601</v>
      </c>
      <c r="B39" s="24" t="s">
        <v>158</v>
      </c>
      <c r="C39" s="143"/>
      <c r="D39" s="35" t="s">
        <v>737</v>
      </c>
      <c r="E39" s="109">
        <f>0.02+87.76</f>
        <v>87.78</v>
      </c>
      <c r="F39" s="40">
        <f t="shared" si="3"/>
        <v>96.558</v>
      </c>
      <c r="G39" s="40">
        <v>115.84649999999999</v>
      </c>
      <c r="H39" s="96">
        <v>135.15425</v>
      </c>
      <c r="I39" s="98">
        <f t="shared" si="0"/>
        <v>3686.76</v>
      </c>
      <c r="J39" s="98">
        <f t="shared" si="1"/>
        <v>4055.436</v>
      </c>
    </row>
    <row r="40" spans="1:10" ht="15">
      <c r="A40" s="1" t="s">
        <v>602</v>
      </c>
      <c r="B40" s="24" t="s">
        <v>159</v>
      </c>
      <c r="C40" s="150" t="s">
        <v>785</v>
      </c>
      <c r="D40" s="35">
        <v>5</v>
      </c>
      <c r="E40" s="109">
        <f>5*0.02+23.34</f>
        <v>23.44</v>
      </c>
      <c r="F40" s="40">
        <f t="shared" si="3"/>
        <v>25.784000000000002</v>
      </c>
      <c r="G40" s="40">
        <v>28.08</v>
      </c>
      <c r="H40" s="96">
        <v>32.76</v>
      </c>
      <c r="I40" s="98">
        <f t="shared" si="0"/>
        <v>984.48</v>
      </c>
      <c r="J40" s="98">
        <f t="shared" si="1"/>
        <v>1082.928</v>
      </c>
    </row>
    <row r="41" spans="1:10" ht="15">
      <c r="A41" s="1" t="s">
        <v>603</v>
      </c>
      <c r="B41" s="24" t="s">
        <v>160</v>
      </c>
      <c r="C41" s="153"/>
      <c r="D41" s="35">
        <v>10</v>
      </c>
      <c r="E41" s="109">
        <f>10*0.02+44.78</f>
        <v>44.980000000000004</v>
      </c>
      <c r="F41" s="40">
        <f t="shared" si="3"/>
        <v>49.47800000000001</v>
      </c>
      <c r="G41" s="40">
        <v>53.715</v>
      </c>
      <c r="H41" s="96">
        <v>62.6675</v>
      </c>
      <c r="I41" s="98">
        <f t="shared" si="0"/>
        <v>1889.16</v>
      </c>
      <c r="J41" s="98">
        <f t="shared" si="1"/>
        <v>2078.0760000000005</v>
      </c>
    </row>
    <row r="42" spans="1:10" ht="15">
      <c r="A42" s="1" t="s">
        <v>604</v>
      </c>
      <c r="B42" s="24" t="s">
        <v>161</v>
      </c>
      <c r="C42" s="153"/>
      <c r="D42" s="35">
        <v>25</v>
      </c>
      <c r="E42" s="109">
        <f>25*0.02+110.69</f>
        <v>111.19</v>
      </c>
      <c r="F42" s="40">
        <f t="shared" si="3"/>
        <v>122.30900000000001</v>
      </c>
      <c r="G42" s="40">
        <v>133.32</v>
      </c>
      <c r="H42" s="96">
        <v>155.54</v>
      </c>
      <c r="I42" s="98">
        <f t="shared" si="0"/>
        <v>4669.98</v>
      </c>
      <c r="J42" s="98">
        <f t="shared" si="1"/>
        <v>5136.978</v>
      </c>
    </row>
    <row r="43" spans="1:10" ht="15">
      <c r="A43" s="1" t="s">
        <v>605</v>
      </c>
      <c r="B43" s="24" t="s">
        <v>162</v>
      </c>
      <c r="C43" s="153"/>
      <c r="D43" s="35">
        <v>1</v>
      </c>
      <c r="E43" s="109">
        <f>0.02+6.04</f>
        <v>6.06</v>
      </c>
      <c r="F43" s="40">
        <f t="shared" si="3"/>
        <v>6.666</v>
      </c>
      <c r="G43" s="40">
        <v>7.245</v>
      </c>
      <c r="H43" s="96">
        <v>8.4525</v>
      </c>
      <c r="I43" s="98">
        <f t="shared" si="0"/>
        <v>254.51999999999998</v>
      </c>
      <c r="J43" s="98">
        <f t="shared" si="1"/>
        <v>279.97200000000004</v>
      </c>
    </row>
    <row r="44" spans="1:10" ht="15">
      <c r="A44" s="1" t="s">
        <v>606</v>
      </c>
      <c r="B44" s="28" t="s">
        <v>163</v>
      </c>
      <c r="C44" s="151"/>
      <c r="D44" s="35">
        <v>1000</v>
      </c>
      <c r="E44" s="109">
        <f>1000*0.02+4344.74</f>
        <v>4364.74</v>
      </c>
      <c r="F44" s="40">
        <f t="shared" si="3"/>
        <v>4801.214</v>
      </c>
      <c r="G44" s="40">
        <v>5243.691666666667</v>
      </c>
      <c r="H44" s="96">
        <v>6117.640277777778</v>
      </c>
      <c r="I44" s="98">
        <f t="shared" si="0"/>
        <v>183319.08</v>
      </c>
      <c r="J44" s="98">
        <f t="shared" si="1"/>
        <v>201650.988</v>
      </c>
    </row>
    <row r="45" spans="1:10" ht="15">
      <c r="A45" s="1" t="s">
        <v>607</v>
      </c>
      <c r="B45" s="24" t="s">
        <v>164</v>
      </c>
      <c r="C45" s="150" t="s">
        <v>786</v>
      </c>
      <c r="D45" s="35">
        <v>5</v>
      </c>
      <c r="E45" s="85">
        <f>18.7+5*0.02</f>
        <v>18.8</v>
      </c>
      <c r="F45" s="40">
        <f t="shared" si="3"/>
        <v>20.680000000000003</v>
      </c>
      <c r="G45" s="40">
        <v>21.105</v>
      </c>
      <c r="H45" s="96">
        <v>24.6225</v>
      </c>
      <c r="I45" s="98">
        <f t="shared" si="0"/>
        <v>789.6</v>
      </c>
      <c r="J45" s="98">
        <f t="shared" si="1"/>
        <v>868.5600000000002</v>
      </c>
    </row>
    <row r="46" spans="1:10" ht="15" hidden="1">
      <c r="A46" s="1" t="s">
        <v>608</v>
      </c>
      <c r="B46" s="24" t="s">
        <v>165</v>
      </c>
      <c r="C46" s="153"/>
      <c r="D46" s="35">
        <v>10</v>
      </c>
      <c r="E46" s="85">
        <v>33.325</v>
      </c>
      <c r="F46" s="40">
        <f t="shared" si="3"/>
        <v>36.657500000000006</v>
      </c>
      <c r="G46" s="40">
        <v>39.99</v>
      </c>
      <c r="H46" s="96">
        <v>46.655</v>
      </c>
      <c r="I46" s="98">
        <f t="shared" si="0"/>
        <v>1399.65</v>
      </c>
      <c r="J46" s="98">
        <f t="shared" si="1"/>
        <v>1539.6150000000002</v>
      </c>
    </row>
    <row r="47" spans="1:10" ht="15">
      <c r="A47" s="1" t="s">
        <v>609</v>
      </c>
      <c r="B47" s="24" t="s">
        <v>166</v>
      </c>
      <c r="C47" s="151"/>
      <c r="D47" s="35">
        <v>25</v>
      </c>
      <c r="E47" s="85">
        <f>85.18+25*0.02</f>
        <v>85.68</v>
      </c>
      <c r="F47" s="40">
        <f t="shared" si="3"/>
        <v>94.24800000000002</v>
      </c>
      <c r="G47" s="40">
        <v>96.99</v>
      </c>
      <c r="H47" s="96">
        <v>113.155</v>
      </c>
      <c r="I47" s="98">
        <f t="shared" si="0"/>
        <v>3598.5600000000004</v>
      </c>
      <c r="J47" s="98">
        <f t="shared" si="1"/>
        <v>3958.4160000000006</v>
      </c>
    </row>
    <row r="48" spans="1:10" s="76" customFormat="1" ht="15">
      <c r="A48" s="76" t="s">
        <v>610</v>
      </c>
      <c r="B48" s="24" t="s">
        <v>167</v>
      </c>
      <c r="C48" s="150" t="s">
        <v>787</v>
      </c>
      <c r="D48" s="35">
        <v>5</v>
      </c>
      <c r="E48" s="109">
        <f>5*0.02+32.04</f>
        <v>32.14</v>
      </c>
      <c r="F48" s="40">
        <f t="shared" si="3"/>
        <v>35.354000000000006</v>
      </c>
      <c r="G48" s="77">
        <v>38.505</v>
      </c>
      <c r="H48" s="97">
        <v>44.9225</v>
      </c>
      <c r="I48" s="98">
        <f t="shared" si="0"/>
        <v>1349.88</v>
      </c>
      <c r="J48" s="98">
        <f t="shared" si="1"/>
        <v>1484.8680000000002</v>
      </c>
    </row>
    <row r="49" spans="1:10" s="76" customFormat="1" ht="15">
      <c r="A49" s="76" t="s">
        <v>611</v>
      </c>
      <c r="B49" s="24" t="s">
        <v>168</v>
      </c>
      <c r="C49" s="153"/>
      <c r="D49" s="35">
        <v>10</v>
      </c>
      <c r="E49" s="109">
        <f>10*0.02+60.94</f>
        <v>61.14</v>
      </c>
      <c r="F49" s="40">
        <f t="shared" si="3"/>
        <v>67.254</v>
      </c>
      <c r="G49" s="77">
        <v>73.425</v>
      </c>
      <c r="H49" s="97">
        <v>85.6625</v>
      </c>
      <c r="I49" s="98">
        <f t="shared" si="0"/>
        <v>2567.88</v>
      </c>
      <c r="J49" s="98">
        <f t="shared" si="1"/>
        <v>2824.668</v>
      </c>
    </row>
    <row r="50" spans="1:10" ht="15">
      <c r="A50" s="1" t="s">
        <v>612</v>
      </c>
      <c r="B50" s="24" t="s">
        <v>169</v>
      </c>
      <c r="C50" s="153"/>
      <c r="D50" s="35">
        <v>5</v>
      </c>
      <c r="E50" s="109">
        <f>5*0.02+31.89</f>
        <v>31.990000000000002</v>
      </c>
      <c r="F50" s="40">
        <f t="shared" si="3"/>
        <v>35.18900000000001</v>
      </c>
      <c r="G50" s="40">
        <v>38.34</v>
      </c>
      <c r="H50" s="96">
        <v>44.73</v>
      </c>
      <c r="I50" s="98">
        <f t="shared" si="0"/>
        <v>1343.5800000000002</v>
      </c>
      <c r="J50" s="98">
        <f t="shared" si="1"/>
        <v>1477.9380000000003</v>
      </c>
    </row>
    <row r="51" spans="1:10" ht="15">
      <c r="A51" s="1" t="s">
        <v>613</v>
      </c>
      <c r="B51" s="24" t="s">
        <v>170</v>
      </c>
      <c r="C51" s="151"/>
      <c r="D51" s="35">
        <v>10</v>
      </c>
      <c r="E51" s="109">
        <f>10*0.02+60.66</f>
        <v>60.86</v>
      </c>
      <c r="F51" s="40">
        <f t="shared" si="3"/>
        <v>66.946</v>
      </c>
      <c r="G51" s="40">
        <v>73.095</v>
      </c>
      <c r="H51" s="96">
        <v>85.2775</v>
      </c>
      <c r="I51" s="98">
        <f t="shared" si="0"/>
        <v>2556.12</v>
      </c>
      <c r="J51" s="98">
        <f t="shared" si="1"/>
        <v>2811.732</v>
      </c>
    </row>
    <row r="52" spans="1:10" ht="45">
      <c r="A52" s="1" t="s">
        <v>614</v>
      </c>
      <c r="B52" s="24" t="s">
        <v>171</v>
      </c>
      <c r="C52" s="51" t="s">
        <v>788</v>
      </c>
      <c r="D52" s="35">
        <v>25</v>
      </c>
      <c r="E52" s="85">
        <v>39.8859375</v>
      </c>
      <c r="F52" s="40">
        <f t="shared" si="3"/>
        <v>43.87453125</v>
      </c>
      <c r="G52" s="40">
        <v>47.863125</v>
      </c>
      <c r="H52" s="96">
        <v>55.8403125</v>
      </c>
      <c r="I52" s="98">
        <f t="shared" si="0"/>
        <v>1675.209375</v>
      </c>
      <c r="J52" s="98">
        <f t="shared" si="1"/>
        <v>1842.7303124999999</v>
      </c>
    </row>
    <row r="53" spans="1:10" ht="15">
      <c r="A53" s="1" t="s">
        <v>615</v>
      </c>
      <c r="B53" s="24" t="s">
        <v>172</v>
      </c>
      <c r="C53" s="150" t="s">
        <v>789</v>
      </c>
      <c r="D53" s="35">
        <v>25</v>
      </c>
      <c r="E53" s="85">
        <v>28.98046875</v>
      </c>
      <c r="F53" s="40">
        <f t="shared" si="3"/>
        <v>31.878515625000002</v>
      </c>
      <c r="G53" s="40">
        <v>34.7765625</v>
      </c>
      <c r="H53" s="96">
        <v>40.57265625</v>
      </c>
      <c r="I53" s="98">
        <f t="shared" si="0"/>
        <v>1217.1796875</v>
      </c>
      <c r="J53" s="98">
        <f t="shared" si="1"/>
        <v>1338.8976562500002</v>
      </c>
    </row>
    <row r="54" spans="1:10" ht="15">
      <c r="A54" s="1" t="s">
        <v>616</v>
      </c>
      <c r="B54" s="24" t="s">
        <v>173</v>
      </c>
      <c r="C54" s="151"/>
      <c r="D54" s="35">
        <v>5</v>
      </c>
      <c r="E54" s="85">
        <v>6.333924153645833</v>
      </c>
      <c r="F54" s="40">
        <f t="shared" si="3"/>
        <v>6.967316569010417</v>
      </c>
      <c r="G54" s="40">
        <v>7.600708984374998</v>
      </c>
      <c r="H54" s="96">
        <v>8.867493815104165</v>
      </c>
      <c r="I54" s="98">
        <f t="shared" si="0"/>
        <v>266.024814453125</v>
      </c>
      <c r="J54" s="98">
        <f t="shared" si="1"/>
        <v>292.6272958984375</v>
      </c>
    </row>
    <row r="55" spans="1:10" ht="33.75">
      <c r="A55" s="1" t="s">
        <v>617</v>
      </c>
      <c r="B55" s="24" t="s">
        <v>174</v>
      </c>
      <c r="C55" s="51" t="s">
        <v>790</v>
      </c>
      <c r="D55" s="35">
        <v>5</v>
      </c>
      <c r="E55" s="109">
        <f>5*0.02+15.43</f>
        <v>15.53</v>
      </c>
      <c r="F55" s="40">
        <f t="shared" si="3"/>
        <v>17.083000000000002</v>
      </c>
      <c r="G55" s="40">
        <v>18.09067083333333</v>
      </c>
      <c r="H55" s="96">
        <v>21.105782638888886</v>
      </c>
      <c r="I55" s="98">
        <f t="shared" si="0"/>
        <v>652.26</v>
      </c>
      <c r="J55" s="98">
        <f t="shared" si="1"/>
        <v>717.4860000000001</v>
      </c>
    </row>
    <row r="56" spans="1:10" ht="33.75">
      <c r="A56" s="1" t="s">
        <v>618</v>
      </c>
      <c r="B56" s="24" t="s">
        <v>175</v>
      </c>
      <c r="C56" s="51" t="s">
        <v>791</v>
      </c>
      <c r="D56" s="35">
        <v>10</v>
      </c>
      <c r="E56" s="109">
        <f>10*0.02+47.64</f>
        <v>47.84</v>
      </c>
      <c r="F56" s="40">
        <f t="shared" si="3"/>
        <v>52.62400000000001</v>
      </c>
      <c r="G56" s="40">
        <v>57.462425324675316</v>
      </c>
      <c r="H56" s="96">
        <v>67.0394962121212</v>
      </c>
      <c r="I56" s="98">
        <f t="shared" si="0"/>
        <v>2009.2800000000002</v>
      </c>
      <c r="J56" s="98">
        <f t="shared" si="1"/>
        <v>2210.2080000000005</v>
      </c>
    </row>
    <row r="57" spans="1:10" ht="22.5">
      <c r="A57" s="1" t="s">
        <v>619</v>
      </c>
      <c r="B57" s="24" t="s">
        <v>176</v>
      </c>
      <c r="C57" s="51" t="s">
        <v>792</v>
      </c>
      <c r="D57" s="35">
        <v>10</v>
      </c>
      <c r="E57" s="109">
        <f>10*0.02+46.33</f>
        <v>46.53</v>
      </c>
      <c r="F57" s="40">
        <f t="shared" si="3"/>
        <v>51.18300000000001</v>
      </c>
      <c r="G57" s="40">
        <v>55.40688552188553</v>
      </c>
      <c r="H57" s="96">
        <v>64.64136644219978</v>
      </c>
      <c r="I57" s="98">
        <f t="shared" si="0"/>
        <v>1954.26</v>
      </c>
      <c r="J57" s="98">
        <f t="shared" si="1"/>
        <v>2149.686</v>
      </c>
    </row>
    <row r="58" spans="1:10" ht="33.75">
      <c r="A58" s="1" t="s">
        <v>620</v>
      </c>
      <c r="B58" s="2" t="s">
        <v>177</v>
      </c>
      <c r="C58" s="49" t="s">
        <v>793</v>
      </c>
      <c r="D58" s="35" t="s">
        <v>737</v>
      </c>
      <c r="E58" s="89">
        <f>2.13*0.02+80.63</f>
        <v>80.67259999999999</v>
      </c>
      <c r="F58" s="40">
        <f t="shared" si="3"/>
        <v>88.73986</v>
      </c>
      <c r="G58" s="40">
        <v>106.425</v>
      </c>
      <c r="H58" s="96">
        <v>124.1625</v>
      </c>
      <c r="I58" s="98">
        <f t="shared" si="0"/>
        <v>3388.2491999999993</v>
      </c>
      <c r="J58" s="98">
        <f t="shared" si="1"/>
        <v>3727.0741199999998</v>
      </c>
    </row>
    <row r="59" spans="1:10" ht="15">
      <c r="A59" s="1" t="s">
        <v>621</v>
      </c>
      <c r="B59" s="24" t="s">
        <v>178</v>
      </c>
      <c r="C59" s="150" t="s">
        <v>794</v>
      </c>
      <c r="D59" s="35">
        <v>5</v>
      </c>
      <c r="E59" s="109">
        <f>5*0.02+10.59</f>
        <v>10.69</v>
      </c>
      <c r="F59" s="40">
        <f t="shared" si="3"/>
        <v>11.759</v>
      </c>
      <c r="G59" s="40">
        <v>12.5720234375</v>
      </c>
      <c r="H59" s="96">
        <v>14.667360677083332</v>
      </c>
      <c r="I59" s="98">
        <f t="shared" si="0"/>
        <v>448.97999999999996</v>
      </c>
      <c r="J59" s="98">
        <f t="shared" si="1"/>
        <v>493.87800000000004</v>
      </c>
    </row>
    <row r="60" spans="1:10" ht="15.75" thickBot="1">
      <c r="A60" s="1" t="s">
        <v>622</v>
      </c>
      <c r="B60" s="24" t="s">
        <v>179</v>
      </c>
      <c r="C60" s="154"/>
      <c r="D60" s="35">
        <v>2</v>
      </c>
      <c r="E60" s="109">
        <f>2*0.02+9.89</f>
        <v>9.93</v>
      </c>
      <c r="F60" s="40">
        <f t="shared" si="3"/>
        <v>10.923</v>
      </c>
      <c r="G60" s="40">
        <v>11.91878787878788</v>
      </c>
      <c r="H60" s="96">
        <v>13.905252525252525</v>
      </c>
      <c r="I60" s="98">
        <f t="shared" si="0"/>
        <v>417.06</v>
      </c>
      <c r="J60" s="98">
        <f t="shared" si="1"/>
        <v>458.766</v>
      </c>
    </row>
    <row r="61" spans="1:10" ht="11.25" customHeight="1">
      <c r="A61" s="1" t="s">
        <v>623</v>
      </c>
      <c r="B61" s="22" t="s">
        <v>624</v>
      </c>
      <c r="C61" s="152" t="s">
        <v>795</v>
      </c>
      <c r="D61" s="162" t="s">
        <v>675</v>
      </c>
      <c r="E61" s="157">
        <f>53.78+30*0.02</f>
        <v>54.38</v>
      </c>
      <c r="F61" s="169">
        <f>E61*1.1</f>
        <v>59.818000000000005</v>
      </c>
      <c r="G61" s="169">
        <v>64.8214039518</v>
      </c>
      <c r="H61" s="170">
        <v>75.62497127709999</v>
      </c>
      <c r="I61" s="176">
        <f t="shared" si="0"/>
        <v>2283.96</v>
      </c>
      <c r="J61" s="176">
        <f t="shared" si="1"/>
        <v>2512.356</v>
      </c>
    </row>
    <row r="62" spans="1:10" ht="12" customHeight="1" thickBot="1">
      <c r="A62" s="1" t="s">
        <v>625</v>
      </c>
      <c r="B62" s="23" t="s">
        <v>626</v>
      </c>
      <c r="C62" s="154"/>
      <c r="D62" s="163" t="s">
        <v>676</v>
      </c>
      <c r="E62" s="158" t="e">
        <v>#DIV/0!</v>
      </c>
      <c r="F62" s="169"/>
      <c r="G62" s="169"/>
      <c r="H62" s="170"/>
      <c r="I62" s="177"/>
      <c r="J62" s="177"/>
    </row>
    <row r="63" spans="1:10" ht="15">
      <c r="A63" s="1" t="s">
        <v>627</v>
      </c>
      <c r="B63" s="24" t="s">
        <v>11</v>
      </c>
      <c r="C63" s="152" t="s">
        <v>796</v>
      </c>
      <c r="D63" s="35" t="s">
        <v>737</v>
      </c>
      <c r="E63" s="122">
        <f>2.42*0.02+74.73</f>
        <v>74.7784</v>
      </c>
      <c r="F63" s="40">
        <f>E63*1.1</f>
        <v>82.25624</v>
      </c>
      <c r="G63" s="40">
        <v>215.90647727272668</v>
      </c>
      <c r="H63" s="96">
        <v>251.89089015151447</v>
      </c>
      <c r="I63" s="98">
        <f t="shared" si="0"/>
        <v>3140.6928000000003</v>
      </c>
      <c r="J63" s="98">
        <f t="shared" si="1"/>
        <v>3454.7620800000004</v>
      </c>
    </row>
    <row r="64" spans="1:10" ht="15">
      <c r="A64" s="1" t="s">
        <v>628</v>
      </c>
      <c r="B64" s="24" t="s">
        <v>180</v>
      </c>
      <c r="C64" s="153"/>
      <c r="D64" s="35" t="s">
        <v>737</v>
      </c>
      <c r="E64" s="109">
        <f>5*0.02+99.34</f>
        <v>99.44</v>
      </c>
      <c r="F64" s="40">
        <f aca="true" t="shared" si="4" ref="F64:F71">E64*1.1</f>
        <v>109.384</v>
      </c>
      <c r="G64" s="40">
        <v>145.42507727272667</v>
      </c>
      <c r="H64" s="96">
        <v>169.66259015151445</v>
      </c>
      <c r="I64" s="98">
        <f t="shared" si="0"/>
        <v>4176.48</v>
      </c>
      <c r="J64" s="98">
        <f t="shared" si="1"/>
        <v>4594.128</v>
      </c>
    </row>
    <row r="65" spans="1:10" ht="15">
      <c r="A65" s="1" t="s">
        <v>629</v>
      </c>
      <c r="B65" s="24" t="s">
        <v>181</v>
      </c>
      <c r="C65" s="153"/>
      <c r="D65" s="35" t="s">
        <v>737</v>
      </c>
      <c r="E65" s="109">
        <f>5*0.02+108</f>
        <v>108.1</v>
      </c>
      <c r="F65" s="40">
        <f t="shared" si="4"/>
        <v>118.91</v>
      </c>
      <c r="G65" s="40">
        <v>151.65547727272667</v>
      </c>
      <c r="H65" s="96">
        <v>176.93139015151445</v>
      </c>
      <c r="I65" s="98">
        <f t="shared" si="0"/>
        <v>4540.2</v>
      </c>
      <c r="J65" s="98">
        <f t="shared" si="1"/>
        <v>4994.22</v>
      </c>
    </row>
    <row r="66" spans="1:10" ht="15">
      <c r="A66" s="1" t="s">
        <v>630</v>
      </c>
      <c r="B66" s="24" t="s">
        <v>182</v>
      </c>
      <c r="C66" s="153"/>
      <c r="D66" s="35" t="s">
        <v>737</v>
      </c>
      <c r="E66" s="109">
        <f>5*0.02+120.86</f>
        <v>120.96</v>
      </c>
      <c r="F66" s="40">
        <f t="shared" si="4"/>
        <v>133.056</v>
      </c>
      <c r="G66" s="40">
        <v>164.8950772727267</v>
      </c>
      <c r="H66" s="96">
        <v>192.37759015151445</v>
      </c>
      <c r="I66" s="98">
        <f t="shared" si="0"/>
        <v>5080.32</v>
      </c>
      <c r="J66" s="98">
        <f t="shared" si="1"/>
        <v>5588.352000000001</v>
      </c>
    </row>
    <row r="67" spans="1:10" ht="15">
      <c r="A67" s="1" t="s">
        <v>631</v>
      </c>
      <c r="B67" s="24" t="s">
        <v>183</v>
      </c>
      <c r="C67" s="151"/>
      <c r="D67" s="35" t="s">
        <v>737</v>
      </c>
      <c r="E67" s="109">
        <f>5*0.02+319.16</f>
        <v>319.26000000000005</v>
      </c>
      <c r="F67" s="40">
        <f t="shared" si="4"/>
        <v>351.1860000000001</v>
      </c>
      <c r="G67" s="40">
        <v>411.54103727272667</v>
      </c>
      <c r="H67" s="96">
        <v>480.13121015151444</v>
      </c>
      <c r="I67" s="98">
        <f t="shared" si="0"/>
        <v>13408.920000000002</v>
      </c>
      <c r="J67" s="98">
        <f t="shared" si="1"/>
        <v>14749.812000000004</v>
      </c>
    </row>
    <row r="68" spans="1:10" ht="15">
      <c r="A68" s="1" t="s">
        <v>632</v>
      </c>
      <c r="B68" s="24" t="s">
        <v>184</v>
      </c>
      <c r="C68" s="150" t="s">
        <v>797</v>
      </c>
      <c r="D68" s="35">
        <v>5</v>
      </c>
      <c r="E68" s="109">
        <f>5*0.02+24.59</f>
        <v>24.69</v>
      </c>
      <c r="F68" s="40">
        <f t="shared" si="4"/>
        <v>27.159000000000002</v>
      </c>
      <c r="G68" s="40">
        <v>28.71</v>
      </c>
      <c r="H68" s="96">
        <v>33.495</v>
      </c>
      <c r="I68" s="98">
        <f t="shared" si="0"/>
        <v>1036.98</v>
      </c>
      <c r="J68" s="98">
        <f t="shared" si="1"/>
        <v>1140.678</v>
      </c>
    </row>
    <row r="69" spans="1:10" ht="15">
      <c r="A69" s="1" t="s">
        <v>633</v>
      </c>
      <c r="B69" s="24" t="s">
        <v>185</v>
      </c>
      <c r="C69" s="153"/>
      <c r="D69" s="35">
        <v>10</v>
      </c>
      <c r="E69" s="109">
        <f>10*0.02+46.09</f>
        <v>46.290000000000006</v>
      </c>
      <c r="F69" s="40">
        <f t="shared" si="4"/>
        <v>50.91900000000001</v>
      </c>
      <c r="G69" s="40">
        <v>53.76</v>
      </c>
      <c r="H69" s="96">
        <v>62.72</v>
      </c>
      <c r="I69" s="98">
        <f t="shared" si="0"/>
        <v>1944.1800000000003</v>
      </c>
      <c r="J69" s="98">
        <f t="shared" si="1"/>
        <v>2138.5980000000004</v>
      </c>
    </row>
    <row r="70" spans="1:10" ht="15">
      <c r="A70" s="1" t="s">
        <v>634</v>
      </c>
      <c r="B70" s="24" t="s">
        <v>186</v>
      </c>
      <c r="C70" s="151"/>
      <c r="D70" s="35">
        <v>25</v>
      </c>
      <c r="E70" s="109">
        <f>25*0.02+112.73</f>
        <v>113.23</v>
      </c>
      <c r="F70" s="40">
        <f t="shared" si="4"/>
        <v>124.55300000000001</v>
      </c>
      <c r="G70" s="40">
        <v>131.415</v>
      </c>
      <c r="H70" s="96">
        <v>153.3175</v>
      </c>
      <c r="I70" s="98">
        <f t="shared" si="0"/>
        <v>4755.66</v>
      </c>
      <c r="J70" s="98">
        <f t="shared" si="1"/>
        <v>5231.226000000001</v>
      </c>
    </row>
    <row r="71" spans="1:10" ht="34.5" thickBot="1">
      <c r="A71" s="1" t="s">
        <v>635</v>
      </c>
      <c r="B71" s="123" t="s">
        <v>187</v>
      </c>
      <c r="C71" s="124" t="s">
        <v>799</v>
      </c>
      <c r="D71" s="125">
        <v>8</v>
      </c>
      <c r="E71" s="126">
        <f>53.09+8*0.02</f>
        <v>53.25</v>
      </c>
      <c r="F71" s="127">
        <f t="shared" si="4"/>
        <v>58.575</v>
      </c>
      <c r="G71" s="127">
        <v>63.525</v>
      </c>
      <c r="H71" s="128">
        <v>74.1125</v>
      </c>
      <c r="I71" s="129">
        <f t="shared" si="0"/>
        <v>2236.5</v>
      </c>
      <c r="J71" s="129">
        <f t="shared" si="1"/>
        <v>2460.15</v>
      </c>
    </row>
    <row r="72" spans="1:10" ht="22.5" customHeight="1">
      <c r="A72" s="1" t="s">
        <v>636</v>
      </c>
      <c r="B72" s="22" t="s">
        <v>637</v>
      </c>
      <c r="C72" s="152" t="s">
        <v>798</v>
      </c>
      <c r="D72" s="162" t="s">
        <v>677</v>
      </c>
      <c r="E72" s="157">
        <f>89.66+30*0.02</f>
        <v>90.25999999999999</v>
      </c>
      <c r="F72" s="169">
        <f>E72*1.1</f>
        <v>99.286</v>
      </c>
      <c r="G72" s="169">
        <v>107.46800427204373</v>
      </c>
      <c r="H72" s="170">
        <v>125.37933831738434</v>
      </c>
      <c r="I72" s="176">
        <f t="shared" si="0"/>
        <v>3790.9199999999996</v>
      </c>
      <c r="J72" s="176">
        <f t="shared" si="1"/>
        <v>4170.012</v>
      </c>
    </row>
    <row r="73" spans="1:10" ht="22.5" customHeight="1" thickBot="1">
      <c r="A73" s="1" t="s">
        <v>638</v>
      </c>
      <c r="B73" s="23" t="s">
        <v>639</v>
      </c>
      <c r="C73" s="154"/>
      <c r="D73" s="163" t="s">
        <v>678</v>
      </c>
      <c r="E73" s="158" t="e">
        <v>#DIV/0!</v>
      </c>
      <c r="F73" s="169"/>
      <c r="G73" s="169"/>
      <c r="H73" s="170"/>
      <c r="I73" s="177"/>
      <c r="J73" s="177"/>
    </row>
    <row r="74" spans="1:10" ht="22.5">
      <c r="A74" s="1" t="s">
        <v>640</v>
      </c>
      <c r="B74" s="24" t="s">
        <v>188</v>
      </c>
      <c r="C74" s="51" t="s">
        <v>800</v>
      </c>
      <c r="D74" s="35">
        <v>5</v>
      </c>
      <c r="E74" s="85">
        <f>56.15+5*0.02</f>
        <v>56.25</v>
      </c>
      <c r="F74" s="40">
        <f>E74*1.1</f>
        <v>61.87500000000001</v>
      </c>
      <c r="G74" s="40">
        <v>63.51725000000004</v>
      </c>
      <c r="H74" s="96">
        <v>74.10345833333338</v>
      </c>
      <c r="I74" s="98">
        <f aca="true" t="shared" si="5" ref="I74:I105">E74*$E$4</f>
        <v>2362.5</v>
      </c>
      <c r="J74" s="98">
        <f aca="true" t="shared" si="6" ref="J74:J105">F74*$E$4</f>
        <v>2598.7500000000005</v>
      </c>
    </row>
    <row r="75" spans="1:10" ht="33.75">
      <c r="A75" s="1" t="s">
        <v>641</v>
      </c>
      <c r="B75" s="24" t="s">
        <v>189</v>
      </c>
      <c r="C75" s="51" t="s">
        <v>801</v>
      </c>
      <c r="D75" s="39">
        <v>25</v>
      </c>
      <c r="E75" s="85">
        <f>38.65+25*0.02</f>
        <v>39.15</v>
      </c>
      <c r="F75" s="40">
        <f aca="true" t="shared" si="7" ref="F75:F87">E75*1.1</f>
        <v>43.065000000000005</v>
      </c>
      <c r="G75" s="40">
        <v>46.92</v>
      </c>
      <c r="H75" s="96">
        <v>54.74</v>
      </c>
      <c r="I75" s="98">
        <f t="shared" si="5"/>
        <v>1644.3</v>
      </c>
      <c r="J75" s="98">
        <f t="shared" si="6"/>
        <v>1808.7300000000002</v>
      </c>
    </row>
    <row r="76" spans="1:10" ht="15">
      <c r="A76" s="1" t="s">
        <v>642</v>
      </c>
      <c r="B76" s="24" t="s">
        <v>190</v>
      </c>
      <c r="C76" s="150" t="s">
        <v>802</v>
      </c>
      <c r="D76" s="35">
        <v>5</v>
      </c>
      <c r="E76" s="109">
        <f>5*0.02+26.95</f>
        <v>27.05</v>
      </c>
      <c r="F76" s="40">
        <f t="shared" si="7"/>
        <v>29.755000000000003</v>
      </c>
      <c r="G76" s="40">
        <v>30.075</v>
      </c>
      <c r="H76" s="96">
        <v>35.0875</v>
      </c>
      <c r="I76" s="98">
        <f t="shared" si="5"/>
        <v>1136.1000000000001</v>
      </c>
      <c r="J76" s="98">
        <f t="shared" si="6"/>
        <v>1249.71</v>
      </c>
    </row>
    <row r="77" spans="1:10" ht="15">
      <c r="A77" s="1" t="s">
        <v>643</v>
      </c>
      <c r="B77" s="24" t="s">
        <v>191</v>
      </c>
      <c r="C77" s="153"/>
      <c r="D77" s="35">
        <v>10</v>
      </c>
      <c r="E77" s="109">
        <f>10*0.02+51.29</f>
        <v>51.49</v>
      </c>
      <c r="F77" s="40">
        <f t="shared" si="7"/>
        <v>56.63900000000001</v>
      </c>
      <c r="G77" s="40">
        <v>57</v>
      </c>
      <c r="H77" s="96">
        <v>66.5</v>
      </c>
      <c r="I77" s="98">
        <f t="shared" si="5"/>
        <v>2162.58</v>
      </c>
      <c r="J77" s="98">
        <f t="shared" si="6"/>
        <v>2378.8380000000006</v>
      </c>
    </row>
    <row r="78" spans="1:10" ht="15">
      <c r="A78" s="1" t="s">
        <v>644</v>
      </c>
      <c r="B78" s="24" t="s">
        <v>192</v>
      </c>
      <c r="C78" s="151"/>
      <c r="D78" s="35">
        <v>25</v>
      </c>
      <c r="E78" s="109">
        <f>25*0.02+126.41</f>
        <v>126.91</v>
      </c>
      <c r="F78" s="40">
        <f t="shared" si="7"/>
        <v>139.601</v>
      </c>
      <c r="G78" s="40">
        <v>142.5</v>
      </c>
      <c r="H78" s="96">
        <v>166.25</v>
      </c>
      <c r="I78" s="98">
        <f t="shared" si="5"/>
        <v>5330.22</v>
      </c>
      <c r="J78" s="98">
        <f t="shared" si="6"/>
        <v>5863.242</v>
      </c>
    </row>
    <row r="79" spans="1:10" ht="15">
      <c r="A79" s="1" t="s">
        <v>645</v>
      </c>
      <c r="B79" s="24" t="s">
        <v>193</v>
      </c>
      <c r="C79" s="48"/>
      <c r="D79" s="35">
        <v>25</v>
      </c>
      <c r="E79" s="85">
        <f>38.51+25*0.02</f>
        <v>39.01</v>
      </c>
      <c r="F79" s="40">
        <f t="shared" si="7"/>
        <v>42.911</v>
      </c>
      <c r="G79" s="40">
        <v>46.44</v>
      </c>
      <c r="H79" s="96">
        <v>54.18</v>
      </c>
      <c r="I79" s="98">
        <f t="shared" si="5"/>
        <v>1638.4199999999998</v>
      </c>
      <c r="J79" s="98">
        <f t="shared" si="6"/>
        <v>1802.2620000000002</v>
      </c>
    </row>
    <row r="80" spans="1:10" ht="15">
      <c r="A80" s="1" t="s">
        <v>646</v>
      </c>
      <c r="B80" s="2" t="s">
        <v>194</v>
      </c>
      <c r="C80" s="114" t="s">
        <v>803</v>
      </c>
      <c r="D80" s="35">
        <v>12</v>
      </c>
      <c r="E80" s="109">
        <f>12*0.02+38.19</f>
        <v>38.43</v>
      </c>
      <c r="F80" s="40">
        <f t="shared" si="7"/>
        <v>42.273</v>
      </c>
      <c r="G80" s="40">
        <v>43.96820515151514</v>
      </c>
      <c r="H80" s="96">
        <v>51.29623934343434</v>
      </c>
      <c r="I80" s="98">
        <f t="shared" si="5"/>
        <v>1614.06</v>
      </c>
      <c r="J80" s="98">
        <f t="shared" si="6"/>
        <v>1775.4660000000001</v>
      </c>
    </row>
    <row r="81" spans="1:10" ht="15">
      <c r="A81" s="1" t="s">
        <v>647</v>
      </c>
      <c r="B81" s="2" t="s">
        <v>195</v>
      </c>
      <c r="C81" s="115"/>
      <c r="D81" s="35">
        <v>30</v>
      </c>
      <c r="E81" s="109">
        <f>30*0.02+89.4</f>
        <v>90</v>
      </c>
      <c r="F81" s="40">
        <f t="shared" si="7"/>
        <v>99.00000000000001</v>
      </c>
      <c r="G81" s="40">
        <v>107.24653535353535</v>
      </c>
      <c r="H81" s="96">
        <v>125.1209579124579</v>
      </c>
      <c r="I81" s="98">
        <f t="shared" si="5"/>
        <v>3780</v>
      </c>
      <c r="J81" s="98">
        <f t="shared" si="6"/>
        <v>4158.000000000001</v>
      </c>
    </row>
    <row r="82" spans="1:10" ht="15">
      <c r="A82" s="1" t="s">
        <v>648</v>
      </c>
      <c r="B82" s="24" t="s">
        <v>196</v>
      </c>
      <c r="C82" s="48"/>
      <c r="D82" s="35">
        <v>0.9</v>
      </c>
      <c r="E82" s="109">
        <f>0.02+57</f>
        <v>57.02</v>
      </c>
      <c r="F82" s="40">
        <f t="shared" si="7"/>
        <v>62.72200000000001</v>
      </c>
      <c r="G82" s="40">
        <v>68.42699999999999</v>
      </c>
      <c r="H82" s="96">
        <v>79.83149999999999</v>
      </c>
      <c r="I82" s="98">
        <f t="shared" si="5"/>
        <v>2394.84</v>
      </c>
      <c r="J82" s="98">
        <f t="shared" si="6"/>
        <v>2634.3240000000005</v>
      </c>
    </row>
    <row r="83" spans="1:10" ht="15">
      <c r="A83" s="1" t="s">
        <v>649</v>
      </c>
      <c r="B83" s="24" t="s">
        <v>197</v>
      </c>
      <c r="C83" s="150" t="s">
        <v>804</v>
      </c>
      <c r="D83" s="35">
        <v>25</v>
      </c>
      <c r="E83" s="109">
        <f>25*0.02+64.98</f>
        <v>65.48</v>
      </c>
      <c r="F83" s="40">
        <f t="shared" si="7"/>
        <v>72.028</v>
      </c>
      <c r="G83" s="40">
        <v>78.255</v>
      </c>
      <c r="H83" s="96">
        <v>91.2975</v>
      </c>
      <c r="I83" s="98">
        <f t="shared" si="5"/>
        <v>2750.1600000000003</v>
      </c>
      <c r="J83" s="98">
        <f t="shared" si="6"/>
        <v>3025.1760000000004</v>
      </c>
    </row>
    <row r="84" spans="1:10" ht="15">
      <c r="A84" s="1" t="s">
        <v>650</v>
      </c>
      <c r="B84" s="24" t="s">
        <v>198</v>
      </c>
      <c r="C84" s="153"/>
      <c r="D84" s="35">
        <v>5</v>
      </c>
      <c r="E84" s="109">
        <f>5*0.02+14.39</f>
        <v>14.49</v>
      </c>
      <c r="F84" s="40">
        <f t="shared" si="7"/>
        <v>15.939000000000002</v>
      </c>
      <c r="G84" s="40">
        <v>17.408144935344826</v>
      </c>
      <c r="H84" s="96">
        <v>20.30950242456896</v>
      </c>
      <c r="I84" s="98">
        <f t="shared" si="5"/>
        <v>608.58</v>
      </c>
      <c r="J84" s="98">
        <f t="shared" si="6"/>
        <v>669.4380000000001</v>
      </c>
    </row>
    <row r="85" spans="1:10" ht="15">
      <c r="A85" s="1" t="s">
        <v>651</v>
      </c>
      <c r="B85" s="24" t="s">
        <v>199</v>
      </c>
      <c r="C85" s="153"/>
      <c r="D85" s="35">
        <v>10</v>
      </c>
      <c r="E85" s="109">
        <f>10*0.02+26.79</f>
        <v>26.99</v>
      </c>
      <c r="F85" s="40">
        <f t="shared" si="7"/>
        <v>29.689</v>
      </c>
      <c r="G85" s="40">
        <v>32.205</v>
      </c>
      <c r="H85" s="96">
        <v>37.5725</v>
      </c>
      <c r="I85" s="98">
        <f t="shared" si="5"/>
        <v>1133.58</v>
      </c>
      <c r="J85" s="98">
        <f t="shared" si="6"/>
        <v>1246.938</v>
      </c>
    </row>
    <row r="86" spans="1:10" ht="15">
      <c r="A86" s="1" t="s">
        <v>652</v>
      </c>
      <c r="B86" s="24" t="s">
        <v>200</v>
      </c>
      <c r="C86" s="153"/>
      <c r="D86" s="35">
        <v>1</v>
      </c>
      <c r="E86" s="109">
        <f>0.02+4.29</f>
        <v>4.31</v>
      </c>
      <c r="F86" s="40">
        <f t="shared" si="7"/>
        <v>4.741</v>
      </c>
      <c r="G86" s="40">
        <v>5.1807809203142545</v>
      </c>
      <c r="H86" s="96">
        <v>6.044244407033297</v>
      </c>
      <c r="I86" s="98">
        <f t="shared" si="5"/>
        <v>181.01999999999998</v>
      </c>
      <c r="J86" s="98">
        <f t="shared" si="6"/>
        <v>199.12199999999999</v>
      </c>
    </row>
    <row r="87" spans="1:10" ht="15.75" thickBot="1">
      <c r="A87" s="1" t="s">
        <v>653</v>
      </c>
      <c r="B87" s="29" t="s">
        <v>201</v>
      </c>
      <c r="C87" s="154"/>
      <c r="D87" s="35">
        <v>1000</v>
      </c>
      <c r="E87" s="109">
        <f>1000*0.02+2535.24</f>
        <v>2555.24</v>
      </c>
      <c r="F87" s="40">
        <f t="shared" si="7"/>
        <v>2810.764</v>
      </c>
      <c r="G87" s="40">
        <v>3072.2916666666674</v>
      </c>
      <c r="H87" s="96">
        <v>3584.3402777777783</v>
      </c>
      <c r="I87" s="98">
        <f t="shared" si="5"/>
        <v>107320.07999999999</v>
      </c>
      <c r="J87" s="98">
        <f t="shared" si="6"/>
        <v>118052.088</v>
      </c>
    </row>
    <row r="88" spans="1:10" ht="20.25" customHeight="1">
      <c r="A88" s="1" t="s">
        <v>654</v>
      </c>
      <c r="B88" s="22" t="s">
        <v>720</v>
      </c>
      <c r="C88" s="152" t="s">
        <v>805</v>
      </c>
      <c r="D88" s="162" t="s">
        <v>721</v>
      </c>
      <c r="E88" s="157">
        <f>101.44+6*0.02</f>
        <v>101.56</v>
      </c>
      <c r="F88" s="169">
        <f>E88*1.1</f>
        <v>111.71600000000001</v>
      </c>
      <c r="G88" s="169">
        <v>121.9001943181836</v>
      </c>
      <c r="H88" s="170">
        <v>142.21689337121418</v>
      </c>
      <c r="I88" s="176">
        <f t="shared" si="5"/>
        <v>4265.52</v>
      </c>
      <c r="J88" s="176">
        <f t="shared" si="6"/>
        <v>4692.072</v>
      </c>
    </row>
    <row r="89" spans="1:10" ht="20.25" customHeight="1" thickBot="1">
      <c r="A89" s="26" t="s">
        <v>722</v>
      </c>
      <c r="B89" s="23" t="s">
        <v>723</v>
      </c>
      <c r="C89" s="154"/>
      <c r="D89" s="163"/>
      <c r="E89" s="158" t="e">
        <v>#N/A</v>
      </c>
      <c r="F89" s="169"/>
      <c r="G89" s="169"/>
      <c r="H89" s="170"/>
      <c r="I89" s="177"/>
      <c r="J89" s="177"/>
    </row>
    <row r="90" spans="1:10" ht="15">
      <c r="A90" s="1" t="s">
        <v>655</v>
      </c>
      <c r="B90" s="24" t="s">
        <v>202</v>
      </c>
      <c r="C90" s="48" t="s">
        <v>806</v>
      </c>
      <c r="D90" s="35">
        <v>10</v>
      </c>
      <c r="E90" s="109">
        <f>10*0.02+137.58</f>
        <v>137.78</v>
      </c>
      <c r="F90" s="40">
        <f>E90*1.1</f>
        <v>151.55800000000002</v>
      </c>
      <c r="G90" s="40">
        <v>156.09903571428572</v>
      </c>
      <c r="H90" s="96">
        <v>182.11554166666667</v>
      </c>
      <c r="I90" s="98">
        <f t="shared" si="5"/>
        <v>5786.76</v>
      </c>
      <c r="J90" s="98">
        <f t="shared" si="6"/>
        <v>6365.436000000001</v>
      </c>
    </row>
    <row r="91" spans="1:10" ht="23.25" customHeight="1">
      <c r="A91" s="1" t="s">
        <v>656</v>
      </c>
      <c r="B91" s="24" t="s">
        <v>203</v>
      </c>
      <c r="C91" s="51" t="s">
        <v>807</v>
      </c>
      <c r="D91" s="37">
        <v>25</v>
      </c>
      <c r="E91" s="109">
        <f>25*0.02+38.28</f>
        <v>38.78</v>
      </c>
      <c r="F91" s="40">
        <f aca="true" t="shared" si="8" ref="F91:F96">E91*1.1</f>
        <v>42.658</v>
      </c>
      <c r="G91" s="40">
        <v>46.68416666666666</v>
      </c>
      <c r="H91" s="96">
        <v>54.464861111111105</v>
      </c>
      <c r="I91" s="98">
        <f t="shared" si="5"/>
        <v>1628.76</v>
      </c>
      <c r="J91" s="98">
        <f t="shared" si="6"/>
        <v>1791.636</v>
      </c>
    </row>
    <row r="92" spans="1:10" ht="56.25">
      <c r="A92" s="1" t="s">
        <v>657</v>
      </c>
      <c r="B92" s="24" t="s">
        <v>305</v>
      </c>
      <c r="C92" s="51" t="s">
        <v>808</v>
      </c>
      <c r="D92" s="35">
        <v>20</v>
      </c>
      <c r="E92" s="109">
        <f>20*0.02+262.06</f>
        <v>262.46</v>
      </c>
      <c r="F92" s="40">
        <f t="shared" si="8"/>
        <v>288.706</v>
      </c>
      <c r="G92" s="40">
        <v>314.30940067340066</v>
      </c>
      <c r="H92" s="96">
        <v>366.6943007856341</v>
      </c>
      <c r="I92" s="98">
        <f t="shared" si="5"/>
        <v>11023.32</v>
      </c>
      <c r="J92" s="98">
        <f t="shared" si="6"/>
        <v>12125.652</v>
      </c>
    </row>
    <row r="93" spans="1:10" ht="15">
      <c r="A93" s="1" t="s">
        <v>658</v>
      </c>
      <c r="B93" s="24" t="s">
        <v>204</v>
      </c>
      <c r="C93" s="48"/>
      <c r="D93" s="35">
        <v>1</v>
      </c>
      <c r="E93" s="109">
        <f>0.02+14.71</f>
        <v>14.73</v>
      </c>
      <c r="F93" s="40">
        <f t="shared" si="8"/>
        <v>16.203000000000003</v>
      </c>
      <c r="G93" s="40">
        <v>17.68571254208754</v>
      </c>
      <c r="H93" s="96">
        <v>20.633331299102128</v>
      </c>
      <c r="I93" s="98">
        <f t="shared" si="5"/>
        <v>618.66</v>
      </c>
      <c r="J93" s="98">
        <f t="shared" si="6"/>
        <v>680.5260000000001</v>
      </c>
    </row>
    <row r="94" spans="1:10" ht="15">
      <c r="A94" s="1" t="s">
        <v>659</v>
      </c>
      <c r="B94" s="24" t="s">
        <v>205</v>
      </c>
      <c r="C94" s="48" t="s">
        <v>816</v>
      </c>
      <c r="D94" s="35">
        <v>20</v>
      </c>
      <c r="E94" s="109">
        <f>20*0.02+115.3</f>
        <v>115.7</v>
      </c>
      <c r="F94" s="40">
        <f t="shared" si="8"/>
        <v>127.27000000000001</v>
      </c>
      <c r="G94" s="40">
        <v>133.35007142857143</v>
      </c>
      <c r="H94" s="96">
        <v>155.57508333333334</v>
      </c>
      <c r="I94" s="98">
        <f t="shared" si="5"/>
        <v>4859.400000000001</v>
      </c>
      <c r="J94" s="98">
        <f t="shared" si="6"/>
        <v>5345.34</v>
      </c>
    </row>
    <row r="95" spans="1:10" ht="33.75">
      <c r="A95" s="1" t="s">
        <v>660</v>
      </c>
      <c r="B95" s="24" t="s">
        <v>206</v>
      </c>
      <c r="C95" s="51" t="s">
        <v>809</v>
      </c>
      <c r="D95" s="35">
        <v>10</v>
      </c>
      <c r="E95" s="109">
        <f>10*0.02+31.73</f>
        <v>31.93</v>
      </c>
      <c r="F95" s="40">
        <f t="shared" si="8"/>
        <v>35.123000000000005</v>
      </c>
      <c r="G95" s="40">
        <v>36.255</v>
      </c>
      <c r="H95" s="96">
        <v>42.2975</v>
      </c>
      <c r="I95" s="98">
        <f t="shared" si="5"/>
        <v>1341.06</v>
      </c>
      <c r="J95" s="98">
        <f t="shared" si="6"/>
        <v>1475.1660000000002</v>
      </c>
    </row>
    <row r="96" spans="1:10" ht="15.75" thickBot="1">
      <c r="A96" s="1" t="s">
        <v>661</v>
      </c>
      <c r="B96" s="24" t="s">
        <v>207</v>
      </c>
      <c r="C96" s="48"/>
      <c r="D96" s="35">
        <v>20</v>
      </c>
      <c r="E96" s="109">
        <f>20*0.02+146.24</f>
        <v>146.64000000000001</v>
      </c>
      <c r="F96" s="40">
        <f t="shared" si="8"/>
        <v>161.30400000000003</v>
      </c>
      <c r="G96" s="40">
        <v>168.47107142857138</v>
      </c>
      <c r="H96" s="96">
        <v>196.5495833333333</v>
      </c>
      <c r="I96" s="98">
        <f t="shared" si="5"/>
        <v>6158.880000000001</v>
      </c>
      <c r="J96" s="98">
        <f t="shared" si="6"/>
        <v>6774.768000000001</v>
      </c>
    </row>
    <row r="97" spans="1:10" ht="11.25" customHeight="1">
      <c r="A97" s="1" t="s">
        <v>662</v>
      </c>
      <c r="B97" s="22" t="s">
        <v>663</v>
      </c>
      <c r="C97" s="152" t="s">
        <v>810</v>
      </c>
      <c r="D97" s="166" t="s">
        <v>679</v>
      </c>
      <c r="E97" s="159">
        <f>25*0.02+92.04</f>
        <v>92.54</v>
      </c>
      <c r="F97" s="169">
        <f>E97*1.1</f>
        <v>101.79400000000001</v>
      </c>
      <c r="G97" s="169">
        <v>111.195</v>
      </c>
      <c r="H97" s="170">
        <v>129.7275</v>
      </c>
      <c r="I97" s="176">
        <f>E97*$E$4</f>
        <v>3886.6800000000003</v>
      </c>
      <c r="J97" s="176">
        <f t="shared" si="6"/>
        <v>4275.348000000001</v>
      </c>
    </row>
    <row r="98" spans="1:10" ht="11.25" customHeight="1">
      <c r="A98" s="1" t="s">
        <v>664</v>
      </c>
      <c r="B98" s="24" t="s">
        <v>665</v>
      </c>
      <c r="C98" s="153"/>
      <c r="D98" s="167"/>
      <c r="E98" s="160"/>
      <c r="F98" s="169"/>
      <c r="G98" s="169"/>
      <c r="H98" s="170"/>
      <c r="I98" s="178"/>
      <c r="J98" s="178"/>
    </row>
    <row r="99" spans="1:10" ht="12" customHeight="1" thickBot="1">
      <c r="A99" s="1" t="s">
        <v>666</v>
      </c>
      <c r="B99" s="23" t="s">
        <v>667</v>
      </c>
      <c r="C99" s="154"/>
      <c r="D99" s="168"/>
      <c r="E99" s="161"/>
      <c r="F99" s="169"/>
      <c r="G99" s="169"/>
      <c r="H99" s="170"/>
      <c r="I99" s="177"/>
      <c r="J99" s="177"/>
    </row>
    <row r="100" spans="1:10" ht="56.25">
      <c r="A100" s="1" t="s">
        <v>668</v>
      </c>
      <c r="B100" s="30" t="s">
        <v>208</v>
      </c>
      <c r="C100" s="58" t="s">
        <v>811</v>
      </c>
      <c r="D100" s="59">
        <v>15</v>
      </c>
      <c r="E100" s="109">
        <f>15*0.02+37.49</f>
        <v>37.79</v>
      </c>
      <c r="F100" s="40">
        <f aca="true" t="shared" si="9" ref="F100:F105">E100*1.1</f>
        <v>41.569</v>
      </c>
      <c r="G100" s="40">
        <v>44.76</v>
      </c>
      <c r="H100" s="96">
        <v>52.22</v>
      </c>
      <c r="I100" s="98">
        <f t="shared" si="5"/>
        <v>1587.18</v>
      </c>
      <c r="J100" s="98">
        <f t="shared" si="6"/>
        <v>1745.8980000000001</v>
      </c>
    </row>
    <row r="101" spans="1:10" ht="27.75" customHeight="1">
      <c r="A101" s="1" t="s">
        <v>669</v>
      </c>
      <c r="B101" s="24" t="s">
        <v>209</v>
      </c>
      <c r="C101" s="150" t="s">
        <v>812</v>
      </c>
      <c r="D101" s="37">
        <v>12</v>
      </c>
      <c r="E101" s="109">
        <f>12*0.02+33.59</f>
        <v>33.830000000000005</v>
      </c>
      <c r="F101" s="40">
        <f t="shared" si="9"/>
        <v>37.21300000000001</v>
      </c>
      <c r="G101" s="40">
        <v>40.665</v>
      </c>
      <c r="H101" s="96">
        <v>47.4425</v>
      </c>
      <c r="I101" s="98">
        <f t="shared" si="5"/>
        <v>1420.8600000000001</v>
      </c>
      <c r="J101" s="98">
        <f t="shared" si="6"/>
        <v>1562.9460000000004</v>
      </c>
    </row>
    <row r="102" spans="1:10" ht="27.75" customHeight="1">
      <c r="A102" s="1" t="s">
        <v>670</v>
      </c>
      <c r="B102" s="24" t="s">
        <v>210</v>
      </c>
      <c r="C102" s="151"/>
      <c r="D102" s="37">
        <v>5</v>
      </c>
      <c r="E102" s="109">
        <f>5*0.02+20.95</f>
        <v>21.05</v>
      </c>
      <c r="F102" s="40">
        <f t="shared" si="9"/>
        <v>23.155</v>
      </c>
      <c r="G102" s="40">
        <v>25.291407369146008</v>
      </c>
      <c r="H102" s="96">
        <v>29.50664193067034</v>
      </c>
      <c r="I102" s="98">
        <f t="shared" si="5"/>
        <v>884.1</v>
      </c>
      <c r="J102" s="98">
        <f t="shared" si="6"/>
        <v>972.51</v>
      </c>
    </row>
    <row r="103" spans="1:10" ht="45">
      <c r="A103" s="1" t="s">
        <v>671</v>
      </c>
      <c r="B103" s="24" t="s">
        <v>211</v>
      </c>
      <c r="C103" s="51" t="s">
        <v>813</v>
      </c>
      <c r="D103" s="37">
        <v>25</v>
      </c>
      <c r="E103" s="109">
        <f>25*0.02+41.23</f>
        <v>41.73</v>
      </c>
      <c r="F103" s="40">
        <f t="shared" si="9"/>
        <v>45.903</v>
      </c>
      <c r="G103" s="40">
        <v>50.22</v>
      </c>
      <c r="H103" s="96">
        <v>58.59</v>
      </c>
      <c r="I103" s="98">
        <f t="shared" si="5"/>
        <v>1752.6599999999999</v>
      </c>
      <c r="J103" s="98">
        <f t="shared" si="6"/>
        <v>1927.926</v>
      </c>
    </row>
    <row r="104" spans="1:10" ht="22.5">
      <c r="A104" s="16" t="s">
        <v>672</v>
      </c>
      <c r="B104" s="24" t="s">
        <v>212</v>
      </c>
      <c r="C104" s="51" t="s">
        <v>814</v>
      </c>
      <c r="D104" s="37">
        <v>5</v>
      </c>
      <c r="E104" s="109">
        <f>5*0.02+53.69</f>
        <v>53.79</v>
      </c>
      <c r="F104" s="40">
        <f t="shared" si="9"/>
        <v>59.169000000000004</v>
      </c>
      <c r="G104" s="40">
        <v>63.293000000000006</v>
      </c>
      <c r="H104" s="96">
        <v>73.84183333333334</v>
      </c>
      <c r="I104" s="98">
        <f t="shared" si="5"/>
        <v>2259.18</v>
      </c>
      <c r="J104" s="98">
        <f t="shared" si="6"/>
        <v>2485.098</v>
      </c>
    </row>
    <row r="105" spans="1:10" ht="23.25" thickBot="1">
      <c r="A105" s="1" t="s">
        <v>673</v>
      </c>
      <c r="B105" s="23" t="s">
        <v>213</v>
      </c>
      <c r="C105" s="60" t="s">
        <v>815</v>
      </c>
      <c r="D105" s="55">
        <v>5</v>
      </c>
      <c r="E105" s="109">
        <f>5*0.02+71.48</f>
        <v>71.58</v>
      </c>
      <c r="F105" s="40">
        <f t="shared" si="9"/>
        <v>78.738</v>
      </c>
      <c r="G105" s="40">
        <v>82.65</v>
      </c>
      <c r="H105" s="96">
        <v>96.425</v>
      </c>
      <c r="I105" s="98">
        <f t="shared" si="5"/>
        <v>3006.36</v>
      </c>
      <c r="J105" s="98">
        <f t="shared" si="6"/>
        <v>3306.996</v>
      </c>
    </row>
  </sheetData>
  <sheetProtection/>
  <mergeCells count="93">
    <mergeCell ref="I97:I99"/>
    <mergeCell ref="J97:J99"/>
    <mergeCell ref="I72:I73"/>
    <mergeCell ref="J72:J73"/>
    <mergeCell ref="I88:I89"/>
    <mergeCell ref="J88:J89"/>
    <mergeCell ref="I29:I30"/>
    <mergeCell ref="J29:J30"/>
    <mergeCell ref="I61:I62"/>
    <mergeCell ref="J61:J62"/>
    <mergeCell ref="I25:I26"/>
    <mergeCell ref="J25:J26"/>
    <mergeCell ref="I27:I28"/>
    <mergeCell ref="J27:J28"/>
    <mergeCell ref="I7:J7"/>
    <mergeCell ref="I18:I19"/>
    <mergeCell ref="J18:J19"/>
    <mergeCell ref="I23:I24"/>
    <mergeCell ref="J23:J24"/>
    <mergeCell ref="B6:H6"/>
    <mergeCell ref="B7:H7"/>
    <mergeCell ref="F88:F89"/>
    <mergeCell ref="G88:G89"/>
    <mergeCell ref="H88:H89"/>
    <mergeCell ref="F27:F28"/>
    <mergeCell ref="G27:G28"/>
    <mergeCell ref="H27:H28"/>
    <mergeCell ref="F29:F30"/>
    <mergeCell ref="G29:G30"/>
    <mergeCell ref="F97:F99"/>
    <mergeCell ref="G97:G99"/>
    <mergeCell ref="H97:H99"/>
    <mergeCell ref="F61:F62"/>
    <mergeCell ref="G61:G62"/>
    <mergeCell ref="H61:H62"/>
    <mergeCell ref="F72:F73"/>
    <mergeCell ref="G72:G73"/>
    <mergeCell ref="H72:H73"/>
    <mergeCell ref="H29:H30"/>
    <mergeCell ref="F23:F24"/>
    <mergeCell ref="G23:G24"/>
    <mergeCell ref="H23:H24"/>
    <mergeCell ref="F25:F26"/>
    <mergeCell ref="G25:G26"/>
    <mergeCell ref="H25:H26"/>
    <mergeCell ref="F18:F19"/>
    <mergeCell ref="G18:G19"/>
    <mergeCell ref="H18:H19"/>
    <mergeCell ref="G21:G22"/>
    <mergeCell ref="H21:H22"/>
    <mergeCell ref="C88:C89"/>
    <mergeCell ref="C63:C67"/>
    <mergeCell ref="C68:C70"/>
    <mergeCell ref="C72:C73"/>
    <mergeCell ref="C76:C78"/>
    <mergeCell ref="D29:D30"/>
    <mergeCell ref="C59:C60"/>
    <mergeCell ref="C80:C81"/>
    <mergeCell ref="C83:C87"/>
    <mergeCell ref="D61:D62"/>
    <mergeCell ref="D72:D73"/>
    <mergeCell ref="D97:D99"/>
    <mergeCell ref="D88:D89"/>
    <mergeCell ref="D18:D19"/>
    <mergeCell ref="E18:E19"/>
    <mergeCell ref="D23:D24"/>
    <mergeCell ref="E27:E28"/>
    <mergeCell ref="D25:D26"/>
    <mergeCell ref="D27:D28"/>
    <mergeCell ref="C9:C10"/>
    <mergeCell ref="C14:C15"/>
    <mergeCell ref="C16:C17"/>
    <mergeCell ref="C18:C19"/>
    <mergeCell ref="C21:C22"/>
    <mergeCell ref="E23:E24"/>
    <mergeCell ref="E25:E26"/>
    <mergeCell ref="E97:E99"/>
    <mergeCell ref="E29:E30"/>
    <mergeCell ref="E61:E62"/>
    <mergeCell ref="E72:E73"/>
    <mergeCell ref="E88:E89"/>
    <mergeCell ref="C97:C99"/>
    <mergeCell ref="D21:D22"/>
    <mergeCell ref="C101:C102"/>
    <mergeCell ref="C23:C26"/>
    <mergeCell ref="C27:C30"/>
    <mergeCell ref="C35:C36"/>
    <mergeCell ref="C38:C39"/>
    <mergeCell ref="C40:C44"/>
    <mergeCell ref="C45:C47"/>
    <mergeCell ref="C48:C51"/>
    <mergeCell ref="C53:C54"/>
    <mergeCell ref="C61:C62"/>
  </mergeCells>
  <conditionalFormatting sqref="A21:A22">
    <cfRule type="duplicateValues" priority="18" dxfId="0">
      <formula>AND(COUNTIF($A$21:$A$22,A21)&gt;1,NOT(ISBLANK(A21)))</formula>
    </cfRule>
  </conditionalFormatting>
  <conditionalFormatting sqref="A23:A24">
    <cfRule type="duplicateValues" priority="17" dxfId="0">
      <formula>AND(COUNTIF($A$23:$A$24,A23)&gt;1,NOT(ISBLANK(A23)))</formula>
    </cfRule>
  </conditionalFormatting>
  <conditionalFormatting sqref="A25:A26">
    <cfRule type="duplicateValues" priority="16" dxfId="0">
      <formula>AND(COUNTIF($A$25:$A$26,A25)&gt;1,NOT(ISBLANK(A25)))</formula>
    </cfRule>
  </conditionalFormatting>
  <conditionalFormatting sqref="A27:A28">
    <cfRule type="duplicateValues" priority="15" dxfId="0">
      <formula>AND(COUNTIF($A$27:$A$28,A27)&gt;1,NOT(ISBLANK(A27)))</formula>
    </cfRule>
  </conditionalFormatting>
  <conditionalFormatting sqref="A29:A30">
    <cfRule type="duplicateValues" priority="14" dxfId="0">
      <formula>AND(COUNTIF($A$29:$A$30,A29)&gt;1,NOT(ISBLANK(A29)))</formula>
    </cfRule>
  </conditionalFormatting>
  <conditionalFormatting sqref="A72:A73">
    <cfRule type="duplicateValues" priority="13" dxfId="0">
      <formula>AND(COUNTIF($A$72:$A$73,A72)&gt;1,NOT(ISBLANK(A72)))</formula>
    </cfRule>
  </conditionalFormatting>
  <conditionalFormatting sqref="A101:A103">
    <cfRule type="duplicateValues" priority="12" dxfId="0">
      <formula>AND(COUNTIF($A$101:$A$103,A101)&gt;1,NOT(ISBLANK(A101)))</formula>
    </cfRule>
  </conditionalFormatting>
  <conditionalFormatting sqref="A61:A62">
    <cfRule type="duplicateValues" priority="11" dxfId="0">
      <formula>AND(COUNTIF($A$61:$A$62,A61)&gt;1,NOT(ISBLANK(A61)))</formula>
    </cfRule>
  </conditionalFormatting>
  <conditionalFormatting sqref="A97:A99">
    <cfRule type="duplicateValues" priority="3" dxfId="0">
      <formula>AND(COUNTIF($A$97:$A$99,A97)&gt;1,NOT(ISBLANK(A97)))</formula>
    </cfRule>
  </conditionalFormatting>
  <conditionalFormatting sqref="A104">
    <cfRule type="duplicateValues" priority="1" dxfId="0">
      <formula>AND(COUNTIF($A$104:$A$104,A104)&gt;1,NOT(ISBLANK(A104)))</formula>
    </cfRule>
  </conditionalFormatting>
  <hyperlinks>
    <hyperlink ref="C3" r:id="rId1" display="www.akademia33.ru"/>
  </hyperlinks>
  <printOptions/>
  <pageMargins left="0.984251968503937" right="0.1968503937007874" top="0.2755905511811024" bottom="0.4330708661417323" header="0.15748031496062992" footer="0.15748031496062992"/>
  <pageSetup fitToHeight="3" fitToWidth="1" horizontalDpi="600" verticalDpi="600" orientation="portrait" paperSize="9" scale="58" r:id="rId3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B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1.140625" style="0" customWidth="1"/>
    <col min="2" max="2" width="13.421875" style="0" customWidth="1"/>
    <col min="3" max="3" width="29.8515625" style="0" customWidth="1"/>
    <col min="4" max="5" width="49.140625" style="0" customWidth="1"/>
  </cols>
  <sheetData>
    <row r="3" ht="15.75" thickBot="1"/>
    <row r="4" spans="1:2" ht="30.75" thickBot="1">
      <c r="A4" s="11" t="s">
        <v>735</v>
      </c>
      <c r="B4" s="10" t="s">
        <v>315</v>
      </c>
    </row>
    <row r="5" spans="1:2" ht="15.75" thickBot="1">
      <c r="A5" s="7" t="s">
        <v>306</v>
      </c>
      <c r="B5" s="9">
        <v>396</v>
      </c>
    </row>
    <row r="6" spans="1:2" ht="15.75" thickBot="1">
      <c r="A6" s="8" t="s">
        <v>307</v>
      </c>
      <c r="B6" s="9">
        <v>324</v>
      </c>
    </row>
    <row r="7" spans="1:2" ht="15.75" thickBot="1">
      <c r="A7" s="8" t="s">
        <v>308</v>
      </c>
      <c r="B7" s="9">
        <v>390</v>
      </c>
    </row>
    <row r="8" spans="1:2" ht="18" customHeight="1" thickBot="1">
      <c r="A8" s="8" t="s">
        <v>309</v>
      </c>
      <c r="B8" s="9">
        <v>414</v>
      </c>
    </row>
    <row r="9" spans="1:2" ht="15.75" thickBot="1">
      <c r="A9" s="8" t="s">
        <v>310</v>
      </c>
      <c r="B9" s="9">
        <v>96</v>
      </c>
    </row>
    <row r="10" spans="1:2" ht="15.75" thickBot="1">
      <c r="A10" s="8" t="s">
        <v>311</v>
      </c>
      <c r="B10" s="9">
        <v>96</v>
      </c>
    </row>
    <row r="11" spans="1:2" ht="15.75" thickBot="1">
      <c r="A11" s="8" t="s">
        <v>312</v>
      </c>
      <c r="B11" s="9">
        <v>828</v>
      </c>
    </row>
    <row r="12" spans="1:2" ht="15.75" thickBot="1">
      <c r="A12" s="8" t="s">
        <v>313</v>
      </c>
      <c r="B12" s="9">
        <v>660</v>
      </c>
    </row>
    <row r="13" spans="1:2" ht="15.75" thickBot="1">
      <c r="A13" s="8" t="s">
        <v>314</v>
      </c>
      <c r="B13" s="9">
        <v>846</v>
      </c>
    </row>
  </sheetData>
  <sheetProtection/>
  <printOptions/>
  <pageMargins left="0.984251968503937" right="0.3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Nepakharev Anton</dc:creator>
  <cp:keywords/>
  <dc:description/>
  <cp:lastModifiedBy>User</cp:lastModifiedBy>
  <cp:lastPrinted>2012-07-17T10:47:23Z</cp:lastPrinted>
  <dcterms:created xsi:type="dcterms:W3CDTF">2010-11-30T11:40:26Z</dcterms:created>
  <dcterms:modified xsi:type="dcterms:W3CDTF">2012-08-08T10:18:14Z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