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65446" windowWidth="9450" windowHeight="10200" activeTab="1"/>
  </bookViews>
  <sheets>
    <sheet name="Строительная химия" sheetId="1" r:id="rId1"/>
    <sheet name="Ремонт_составы" sheetId="2" r:id="rId2"/>
  </sheets>
  <definedNames>
    <definedName name="_xlnm.Print_Titles" localSheetId="0">'Строительная химия'!$5:$7</definedName>
  </definedNames>
  <calcPr fullCalcOnLoad="1"/>
</workbook>
</file>

<file path=xl/sharedStrings.xml><?xml version="1.0" encoding="utf-8"?>
<sst xmlns="http://schemas.openxmlformats.org/spreadsheetml/2006/main" count="388" uniqueCount="319">
  <si>
    <t>код</t>
  </si>
  <si>
    <t>материалы</t>
  </si>
  <si>
    <t>вес ед. прод.</t>
  </si>
  <si>
    <t>123105</t>
  </si>
  <si>
    <t>BIBLOCK комп. А (2,5 кг)</t>
  </si>
  <si>
    <t>2,5+2,5=5кг</t>
  </si>
  <si>
    <t>124105</t>
  </si>
  <si>
    <t>BIBLOCK комп. В (2,5 кг)</t>
  </si>
  <si>
    <t>161005</t>
  </si>
  <si>
    <t>DURESIL EB /A 5 кг</t>
  </si>
  <si>
    <t>5+5=10кг</t>
  </si>
  <si>
    <t>162005</t>
  </si>
  <si>
    <t xml:space="preserve">DURESIL EB /B 5 кг </t>
  </si>
  <si>
    <t>52000320</t>
  </si>
  <si>
    <t>ELASTOCOLOR (бежевый) канистра 20 кг</t>
  </si>
  <si>
    <t>52000020</t>
  </si>
  <si>
    <t>ELASTOCOLOR (белый) канистра 20 кг</t>
  </si>
  <si>
    <t>52001020</t>
  </si>
  <si>
    <t>ELASTOCOLOR (Серый) канистра 20 кг</t>
  </si>
  <si>
    <t>52099510</t>
  </si>
  <si>
    <t>ELASTOCOLOR PRIMER канистра 10 кг</t>
  </si>
  <si>
    <t>156103</t>
  </si>
  <si>
    <t>EPOJET A    2 кг</t>
  </si>
  <si>
    <t>2+0,5=2,5 кг</t>
  </si>
  <si>
    <t>157103</t>
  </si>
  <si>
    <t>EPOJET B    0,5 кг</t>
  </si>
  <si>
    <t>156104</t>
  </si>
  <si>
    <t>EPOJET A  3,2 кг</t>
  </si>
  <si>
    <t>3,2+0,8=4 кг</t>
  </si>
  <si>
    <t>157104</t>
  </si>
  <si>
    <t>EPOJET B  0,8 кг</t>
  </si>
  <si>
    <t>157503</t>
  </si>
  <si>
    <t>EPOJET LV /A 2 кг</t>
  </si>
  <si>
    <t>157703</t>
  </si>
  <si>
    <t>EPOJET LV /В 0,5 кг</t>
  </si>
  <si>
    <t>157504</t>
  </si>
  <si>
    <t>EPOJET LV /A 3,2 кг</t>
  </si>
  <si>
    <t>157704</t>
  </si>
  <si>
    <t>EPOJET LV /В 0,8 кг</t>
  </si>
  <si>
    <t>152102</t>
  </si>
  <si>
    <t>EPORIP A  канистры  1,5 кг</t>
  </si>
  <si>
    <t>1,5+0,5=2 кг</t>
  </si>
  <si>
    <t>153102</t>
  </si>
  <si>
    <t>EPORIP  B  канистры  0,5 кг</t>
  </si>
  <si>
    <t>152110</t>
  </si>
  <si>
    <t>EPORIP A  канистры  7,5 кг</t>
  </si>
  <si>
    <t>7,5+2,5=10 кг</t>
  </si>
  <si>
    <t>153110</t>
  </si>
  <si>
    <t>EPORIP B  канистры  2,5 кг</t>
  </si>
  <si>
    <t>153536</t>
  </si>
  <si>
    <t>EPORIP TURBO A+B  SCAT. 6 kg</t>
  </si>
  <si>
    <t>0,5+0,008=0,508 кг</t>
  </si>
  <si>
    <t>246120</t>
  </si>
  <si>
    <t>FOAMJET T /A 20 кг</t>
  </si>
  <si>
    <t>20+24=44 кг</t>
  </si>
  <si>
    <t>246524</t>
  </si>
  <si>
    <t>FOAMJET T /B 24 кг</t>
  </si>
  <si>
    <t>166105</t>
  </si>
  <si>
    <t>LAMPOSILEX             канистры    5 кг</t>
  </si>
  <si>
    <t>256110</t>
  </si>
  <si>
    <t>MALECH  10 кг</t>
  </si>
  <si>
    <t>256102</t>
  </si>
  <si>
    <t>MALECH  2 кг</t>
  </si>
  <si>
    <t>166210</t>
  </si>
  <si>
    <t xml:space="preserve">MAPECOAT BS1 /A 8,1 кг </t>
  </si>
  <si>
    <t>8,1+1,9=10 кг</t>
  </si>
  <si>
    <t>166310</t>
  </si>
  <si>
    <t xml:space="preserve">MAPECOAT BS1 /B 1,9 кг </t>
  </si>
  <si>
    <t>166810</t>
  </si>
  <si>
    <t xml:space="preserve">MAPECOAT BS1 /A серый 8,1 кг </t>
  </si>
  <si>
    <t>7A01025</t>
  </si>
  <si>
    <t xml:space="preserve">MAPECOAT E23 /A 20,75 кг </t>
  </si>
  <si>
    <t>20,75+4,25=25 кг</t>
  </si>
  <si>
    <t>7A99925</t>
  </si>
  <si>
    <t xml:space="preserve">MAPECOAT E23 /B 4,25 кг </t>
  </si>
  <si>
    <t>5C00005</t>
  </si>
  <si>
    <t>MAPECOAT I 24 / A+B N. 0      4 кг + 1 кг</t>
  </si>
  <si>
    <t>4 кг + 1 кг = 5 кг</t>
  </si>
  <si>
    <t>5C90005</t>
  </si>
  <si>
    <t>MAPECOAT I 24 / A+B NEUTRO    4 кг + 1 кг</t>
  </si>
  <si>
    <t>5C82705</t>
  </si>
  <si>
    <t>MAPECOAT I 24 / A+B RAL 1001  4 кг + 1 кг</t>
  </si>
  <si>
    <t>5C82805</t>
  </si>
  <si>
    <t>MAPECOAT I 24 / A+B RAL 1002  4 кг + 1 кг</t>
  </si>
  <si>
    <t>5C82405</t>
  </si>
  <si>
    <t>MAPECOAT I 24 / A+B RAL 1013  4 кг + 1 кг</t>
  </si>
  <si>
    <t>5C51505</t>
  </si>
  <si>
    <t>MAPECOAT I 24 / A+B RAL 1014  4 кг + 1 кг</t>
  </si>
  <si>
    <t>5C52505</t>
  </si>
  <si>
    <t>MAPECOAT I 24 / A+B RAL 1015  4 кг + 1 кг</t>
  </si>
  <si>
    <t>5C81005</t>
  </si>
  <si>
    <t>MAPECOAT I 24 / A+B RAL 1032  4 кг + 1 кг</t>
  </si>
  <si>
    <t>5C82105</t>
  </si>
  <si>
    <t>MAPECOAT I 24 / A+B RAL 3009  4 кг + 1 кг</t>
  </si>
  <si>
    <t>5C81805</t>
  </si>
  <si>
    <t>MAPECOAT I 24 / A+B RAL 3016  4 кг + 1 кг</t>
  </si>
  <si>
    <t>5C82205</t>
  </si>
  <si>
    <t>MAPECOAT I 24 / A+B RAL 5012  4 кг + 1 кг</t>
  </si>
  <si>
    <t>5C82505</t>
  </si>
  <si>
    <t>MAPECOAT I 24 / A+B RAL 5024  4 кг + 1 кг</t>
  </si>
  <si>
    <t>5C81905</t>
  </si>
  <si>
    <t>MAPECOAT I 24 / A+B RAL 6001  4 кг + 1 кг</t>
  </si>
  <si>
    <t>5C83105</t>
  </si>
  <si>
    <t>MAPECOAT I 24 / A+B RAL 6002  4 кг + 1 кг</t>
  </si>
  <si>
    <t>5C82905</t>
  </si>
  <si>
    <t>MAPECOAT I 24 / A+B RAL 6018  4 кг + 1 кг</t>
  </si>
  <si>
    <t>5C50705</t>
  </si>
  <si>
    <t>MAPECOAT I 24 / A+B RAL 6019  4 кг + 1 кг</t>
  </si>
  <si>
    <t>5C51305</t>
  </si>
  <si>
    <t>MAPECOAT I 24 / A+B RAL 7001  4 кг + 1 кг</t>
  </si>
  <si>
    <t>5C50805</t>
  </si>
  <si>
    <t>MAPECOAT I 24 / A+B RAL 7030  4 кг + 1 кг</t>
  </si>
  <si>
    <t>5C81505</t>
  </si>
  <si>
    <t>MAPECOAT I 24 / A+B RAL 7032  4 кг + 1 кг</t>
  </si>
  <si>
    <t>5C50605</t>
  </si>
  <si>
    <t>MAPECOAT I 24 / A+B RAL 7035  4 кг + 1 кг</t>
  </si>
  <si>
    <t>5C83305</t>
  </si>
  <si>
    <t>MAPECOAT I 24 / A+B RAL 7037  4 кг + 1 кг</t>
  </si>
  <si>
    <t>5C82605</t>
  </si>
  <si>
    <t>MAPECOAT I 24 / A+B RAL 7039  4 кг + 1 кг</t>
  </si>
  <si>
    <t>5C81605</t>
  </si>
  <si>
    <t>MAPECOAT I 24 / A+B RAL 7040  4 кг + 1 кг</t>
  </si>
  <si>
    <t>5C99905</t>
  </si>
  <si>
    <t>MAPECOAT I 24/B           FST. 1 KG</t>
  </si>
  <si>
    <t>5 кг + 1 кг = 5 кг</t>
  </si>
  <si>
    <t>7B80223</t>
  </si>
  <si>
    <t>MAPECOAT PU33 / A+ B RAL 7030 20,7 кг+ 2,3 кг</t>
  </si>
  <si>
    <t>20,7 кг + 2,3 кг = 23 кг</t>
  </si>
  <si>
    <t>7B80023</t>
  </si>
  <si>
    <t>MAPECOAT PU33 / A+ B RAL 7032 20,7 кг+ 2,3 кг</t>
  </si>
  <si>
    <t>7B80523</t>
  </si>
  <si>
    <t>MAPECOAT PU33 / A+ B RAL 1015 20,7 кг+ 2,3 кг</t>
  </si>
  <si>
    <t>7B99923</t>
  </si>
  <si>
    <t>MAPECOAT PU33/B        FUST. 2,3 KG</t>
  </si>
  <si>
    <t>5B81010</t>
  </si>
  <si>
    <t>MAPECOAT T / A + B RAL 7032 10 кг + 10 кг</t>
  </si>
  <si>
    <t>10 кг + 10 кг = 20 кг</t>
  </si>
  <si>
    <t>5B83010</t>
  </si>
  <si>
    <t>MAPECOAT T / A + B RAL 9001 10 кг + 10 кг</t>
  </si>
  <si>
    <t>5B80010</t>
  </si>
  <si>
    <t>MAPECOAT T / A + B RAL 9010 10 кг + 10 кг</t>
  </si>
  <si>
    <t>5B99910</t>
  </si>
  <si>
    <t>MAPECOAT T /B          FUST.  10 KG</t>
  </si>
  <si>
    <t>169125</t>
  </si>
  <si>
    <t>MAPECURE E ведро 25 кг</t>
  </si>
  <si>
    <t>169424</t>
  </si>
  <si>
    <t>MAPECURE S ведро  24 кг</t>
  </si>
  <si>
    <t>169752</t>
  </si>
  <si>
    <t>MAPECURE SRA 0,25 кг</t>
  </si>
  <si>
    <t>169720</t>
  </si>
  <si>
    <t>MAPECURE SRA ведро  20 кг</t>
  </si>
  <si>
    <t>276645</t>
  </si>
  <si>
    <t>MAPEFER 1K мешки 5кг</t>
  </si>
  <si>
    <t>139102</t>
  </si>
  <si>
    <t>MAPEFER канистры  2кг</t>
  </si>
  <si>
    <t>150425</t>
  </si>
  <si>
    <t>MAPEFILL R 25 кг</t>
  </si>
  <si>
    <t>136124</t>
  </si>
  <si>
    <t>MAPEFINISH /A       24 кг</t>
  </si>
  <si>
    <t>24 кг + 6 кг = 30 кг</t>
  </si>
  <si>
    <t>135106</t>
  </si>
  <si>
    <t>MAPEFINISH /B       6 кг</t>
  </si>
  <si>
    <t>196210</t>
  </si>
  <si>
    <t>MAPEFLEX PU65 /A 8,55 кг</t>
  </si>
  <si>
    <t>8,55 кг + 1,45кг = 10 кг</t>
  </si>
  <si>
    <t>196310</t>
  </si>
  <si>
    <t>MAPEFLEX PU65 /B 1,45 кг</t>
  </si>
  <si>
    <t>222025</t>
  </si>
  <si>
    <t>MAPEGROUT  430 мешки 25кг</t>
  </si>
  <si>
    <t>137725</t>
  </si>
  <si>
    <t>MAPEGROUT RAPIDO       мешки 25 кг</t>
  </si>
  <si>
    <t>2658425</t>
  </si>
  <si>
    <t>MAPEGROUT SV FIBER мешки 25кг</t>
  </si>
  <si>
    <t>265825</t>
  </si>
  <si>
    <t>MAPEGROUT SV T мешки 25кг</t>
  </si>
  <si>
    <t>265525</t>
  </si>
  <si>
    <t>MAPEGROUT SV мешки 25кг</t>
  </si>
  <si>
    <t>148125</t>
  </si>
  <si>
    <t>MAPEGROUT BM      /A 25 кг.</t>
  </si>
  <si>
    <t>25 кг + 4,7 кг = 29,7 кг</t>
  </si>
  <si>
    <t>148605</t>
  </si>
  <si>
    <t>MAPEGROUT BM     /B 4,7 кг.</t>
  </si>
  <si>
    <t>21 кг + 10 кг = 30 кг</t>
  </si>
  <si>
    <t>168108</t>
  </si>
  <si>
    <t>167720</t>
  </si>
  <si>
    <t>MAPELASTIC SMART A 20 кг</t>
  </si>
  <si>
    <t>20 кг + 10 кг = 30 кг</t>
  </si>
  <si>
    <t>168710</t>
  </si>
  <si>
    <t>MAPELASTIC SMART В 10 кг</t>
  </si>
  <si>
    <t>136522</t>
  </si>
  <si>
    <t>MONOFINISH 22 кг</t>
  </si>
  <si>
    <t>231125</t>
  </si>
  <si>
    <t>PLANITOP  400 мешки 25кг</t>
  </si>
  <si>
    <t>109125</t>
  </si>
  <si>
    <t>PROSFAS                канистры   25 кг</t>
  </si>
  <si>
    <t>244620</t>
  </si>
  <si>
    <t>RESFOAM 1K-M        упак.  20 кг</t>
  </si>
  <si>
    <t>244701</t>
  </si>
  <si>
    <t>RESFOAM 1K-M AKS       канистры    1 кг</t>
  </si>
  <si>
    <t>151120</t>
  </si>
  <si>
    <t>STABILCEM              мешки 20 кг</t>
  </si>
  <si>
    <t>151920</t>
  </si>
  <si>
    <t>STABILCEM SCC          мешки 20 кг</t>
  </si>
  <si>
    <t>152325</t>
  </si>
  <si>
    <t>STABILCEM T/HSR       мешки 25 кг</t>
  </si>
  <si>
    <t>110705</t>
  </si>
  <si>
    <t>TRIBLOC P 5 кг</t>
  </si>
  <si>
    <t>135331</t>
  </si>
  <si>
    <t>TRIBLOCK FINISH A    упак. 1,5 кг</t>
  </si>
  <si>
    <t>1,5+4,75+25=31,25 кг</t>
  </si>
  <si>
    <t>135431</t>
  </si>
  <si>
    <t>TRIBLOCK FINISH В   упак. 4,75 кг</t>
  </si>
  <si>
    <t>135531</t>
  </si>
  <si>
    <t>TRIBLOCK FINISH С    упак. 25 кг</t>
  </si>
  <si>
    <t>Q4 2011</t>
  </si>
  <si>
    <t>Материалы для конструкционного ремонта бетона и железобетона</t>
  </si>
  <si>
    <t>MAPEGROUT HI-FLOW</t>
  </si>
  <si>
    <t xml:space="preserve">MAPEGROUT HI-FLOW 10 </t>
  </si>
  <si>
    <r>
      <t xml:space="preserve">MAPEGROUT T-40          </t>
    </r>
    <r>
      <rPr>
        <b/>
        <sz val="8"/>
        <color indexed="10"/>
        <rFont val="Arial"/>
        <family val="2"/>
      </rPr>
      <t xml:space="preserve"> Под заказ </t>
    </r>
  </si>
  <si>
    <t xml:space="preserve">MAPEGROUT TIXOTROPIC </t>
  </si>
  <si>
    <t>ARB 10                                </t>
  </si>
  <si>
    <t>ARB 10 F                              </t>
  </si>
  <si>
    <t>Подливочные составы для высокоточной цементации оборудования и анкеровки металлоконструкций</t>
  </si>
  <si>
    <t>MAPEFILL</t>
  </si>
  <si>
    <t xml:space="preserve">MAPEFILL 10                   </t>
  </si>
  <si>
    <t>Гидроизоляционные материалы</t>
  </si>
  <si>
    <t>IDROSILEX Pronto</t>
  </si>
  <si>
    <t>Российское производство</t>
  </si>
  <si>
    <t>Описание материала и его применение</t>
  </si>
  <si>
    <t>ООО "Академия Строительных решений"</t>
  </si>
  <si>
    <t xml:space="preserve">Официальный дилер </t>
  </si>
  <si>
    <t>e-mail:mapei33@mail.ru</t>
  </si>
  <si>
    <t>MAPELASTIC Компонент A</t>
  </si>
  <si>
    <t>Осмотический раствор на цементной основе для гидроизоляции бетонных конструкций и кирпичной кладке, подходит при контакте с питьевой водой</t>
  </si>
  <si>
    <t xml:space="preserve">MAPELASTIC Компонент B           </t>
  </si>
  <si>
    <t>тел. (4922) 46-15-35</t>
  </si>
  <si>
    <r>
      <t xml:space="preserve">MAPEGROUT SF    </t>
    </r>
    <r>
      <rPr>
        <i/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Под заказ</t>
    </r>
  </si>
  <si>
    <r>
      <t xml:space="preserve">MAPEGROUT MF     </t>
    </r>
    <r>
      <rPr>
        <sz val="8"/>
        <color indexed="10"/>
        <rFont val="Arial"/>
        <family val="2"/>
      </rPr>
      <t>Под заказ</t>
    </r>
  </si>
  <si>
    <t>Цена
(от 3 до 10 т)</t>
  </si>
  <si>
    <t>Цена (от 1,5 до 3 т)</t>
  </si>
  <si>
    <t>Цена (до 1,5 т)</t>
  </si>
  <si>
    <t>Цена
(от 10 т)</t>
  </si>
  <si>
    <t>Двухкомпонентный эпоксидный вододисперсионный пленкообразующий состав для бетона, дополнительно обладающий укрепляющими о обеспылевающими свойствами</t>
  </si>
  <si>
    <t>Эпоксидная краска модифицированная углеводородными смолами для защиты бетонных и стальных поверхностей</t>
  </si>
  <si>
    <t>Укрепляющая грунтовка на основе растворителей для пористых оснований и средство по уходу за ремонтными составами</t>
  </si>
  <si>
    <t>Двухкомпонентная супертекучая эпоксидная смола для инъекций</t>
  </si>
  <si>
    <t>Двухкомпонентная эпоксидная смола с очень низкой вязкостью для инъекций в микротрещины</t>
  </si>
  <si>
    <t>Двухкомпонентный эпоксидный клей без растворителей для монолитного склеивания старого и нового бетона, ремонта трещин в бетона</t>
  </si>
  <si>
    <t>Сверхбыстросхватывающаяся двухкомпонентная полиэфирная смола для герметизации трещин в стяжках и мелких ремонтных работ</t>
  </si>
  <si>
    <t>Двухкомпонентная полиуретановая инъекционная смола повышенной вязкости со сверхбыстрым временем схватывания для консолидации и гидроизоляции конструкций, подверженных сильным протечкам воды под высоким давлением</t>
  </si>
  <si>
    <t>Быстросхватывающееся и быстро твердеющее гидравлическое вяжущее для остановки водных протечек</t>
  </si>
  <si>
    <t>Тонкодисперсная грунтовка на основе водной дисперсии акриловых смол</t>
  </si>
  <si>
    <t>Двухкомпонентное, эластичное, износостойкое эпоксидно-полиуретановое покрытие для защиты и гидроизоляции бетонных поверхностей</t>
  </si>
  <si>
    <t>Двухкомпонентная эпоксидная грунтовка для защиты бетона</t>
  </si>
  <si>
    <t>Эпоксидная двухкомпонентная краска для химической защиты бетона</t>
  </si>
  <si>
    <t>Эластичное покрытие на основе двухкомпонентной полиуретановой смолы</t>
  </si>
  <si>
    <t>Двухкомпонентное водовисперсионная эпоксидная краска для защиты цементных оснований</t>
  </si>
  <si>
    <t>Пленкообразующее покрытие на основе растворителей для цементных растворов и бетонов, пригодное для окрашивания</t>
  </si>
  <si>
    <t>Пленкообразующий защитный состав на основе растворителей для растворов и бетонов</t>
  </si>
  <si>
    <t>Добавка для снижения влажноствой усадки и предотвращения появления микротрещин</t>
  </si>
  <si>
    <t>Однокомпонентный цементный состав для защиты арматурных стержней от коррозии</t>
  </si>
  <si>
    <t>Двухкомпонентный состав для защиты стальной арматуры от коррозии</t>
  </si>
  <si>
    <t>Расширяющаяся, быстросхватывающаяся текучая смесь для анкеровки</t>
  </si>
  <si>
    <t>Двухкомпонентный цементный состав для защиты и финишной отделки бетона</t>
  </si>
  <si>
    <t>Двухкомпонентный текучий полиуретановый герметик для выравнивания швов заподлицо с поверхностью</t>
  </si>
  <si>
    <t>Безусадочный быстротвердеющий мелкозернистый раствор средней прочности (более 30 Мпа), содержащий полимерную фибру, предназначенный для ремонта поверхности бетонных конструкций. Максимальный размер заполнителя 1 мм.  Толщина нанесения от 5 до 35 мм</t>
  </si>
  <si>
    <r>
      <t>Быстросхватывающаяся и быстротвердеющая высокотекучая ремонтная смесь с контролируемой усадкой, применяемая для ремонта бетона при пониженных температурах до -5</t>
    </r>
    <r>
      <rPr>
        <sz val="8"/>
        <color indexed="8"/>
        <rFont val="Arial Cyr"/>
        <family val="0"/>
      </rPr>
      <t>°</t>
    </r>
    <r>
      <rPr>
        <sz val="8"/>
        <color indexed="8"/>
        <rFont val="Arial"/>
        <family val="2"/>
      </rPr>
      <t>С. Используется в сочетании с жесткой стальной фиброй</t>
    </r>
  </si>
  <si>
    <t>Быстросхватывающаяся и быстротвердеющая тиксотропная ремонтаная смесь с компенсированной усадкой, применяемая для ремонта бетона и монтажа дренажных труб, канализационных люков и городских декоративных элементов</t>
  </si>
  <si>
    <t>Быстросхватывающаяся и быстротвердеющая высокотекучая ремонтная смесь с контролируемой усадкой, применяемая для ремонта бетона монтожа смотровых колодцев, канализационных люков и ремонта дорожных покрытий</t>
  </si>
  <si>
    <t>Двухкомпонентная ремонтная смесь на цементной основе для ремонта бетона с низким модулем упругости</t>
  </si>
  <si>
    <t>Второй компонент Двухкомопнентной эластичный состав на цементной основе, применяется для защиты цементобетонных поверхностей (бетона, штукатурок, стяжек) от внешних агрессивных факторов</t>
  </si>
  <si>
    <t>Двухкомпонентный высокоэластичный цементный состав для гидроизоляции бетонных поверхностей и для защиты от воздействия агрессивных агентов</t>
  </si>
  <si>
    <t>Быстросхватывающаяся тиксотропная ремонтная смесь с контролируемой усадкой для ремонта и финишного выравнивания бетонных поверхностей (толщина нанесения 1 - 40 мм)</t>
  </si>
  <si>
    <t>Не содержащий растворителей укрепляющий состав на силиконовой основе для цементных оснований</t>
  </si>
  <si>
    <t>Сверхтекучая однокомпонентная полиуретановая смола для инъекций с регулируемым временем схватывания, для гидроизоляции конструкций, грунтов и оснований, подверженных интенсивным протечкам</t>
  </si>
  <si>
    <t>Расширяющееся цементное вяжущее с очень высокой подвижностью для приготовления инъекционных растворов, строительных растворов и бетонов с компенсированной усадкой</t>
  </si>
  <si>
    <t>Цементное вяжущее для производства безусадочных самоуплотняющихся бетонных растворов для ремонта бетонных конструкций</t>
  </si>
  <si>
    <t>Однокомпонентный тиксотропный строительный состав с контролируемой усадкой для фиксации анкерных стержней и болтов в любых грунтах методом инъектирования</t>
  </si>
  <si>
    <t>Трехкомпонентный грунтовочный состав на основе эпоксидной смолы и цемента для влажных поверхностей</t>
  </si>
  <si>
    <t>Трехкомпонентый экопксидно-цементный тиксотропный состав для выравнивания влажных поверхностей</t>
  </si>
  <si>
    <r>
      <t xml:space="preserve">цены на продукцию импортного производства в </t>
    </r>
    <r>
      <rPr>
        <b/>
        <sz val="12"/>
        <color indexed="10"/>
        <rFont val="Arial"/>
        <family val="2"/>
      </rPr>
      <t>евро</t>
    </r>
    <r>
      <rPr>
        <b/>
        <sz val="12"/>
        <rFont val="Arial"/>
        <family val="2"/>
      </rPr>
      <t xml:space="preserve"> за единицу  с учётом НДС</t>
    </r>
  </si>
  <si>
    <t>цена за единицу продукции в рублях с учетом НДС</t>
  </si>
  <si>
    <t>Цена (от 3 до 10 т)</t>
  </si>
  <si>
    <t>материалы РОССИЙСКОГО ПРОИЗВОДСТВА</t>
  </si>
  <si>
    <t>цена за кг</t>
  </si>
  <si>
    <t>Смесь безусадочная, быстротвердеющая наливного типа, с полимерной фиброй, максимальной крупностью заполнителя до 3,0 мм, применяется для устранения дефектов глубиной от 10 до 40 мм, с устройством опалубки. Расход 21 кг/кв.м на 1 см толщины</t>
  </si>
  <si>
    <t>Смесь безусадочная, быстротвердеющая наливного типа, с полимерной фиброй, максимальной крупностью заполнителя до 10,0 мм, применяется для устранения дефектов глубиной от 40 до 100 мм, с устройством опалубки. Расход 21 кг/кв. м на 1 см толщины</t>
  </si>
  <si>
    <t>Смесь безусадочная, быстротвердеющая тиксотропного типа, средней прочности 40 Мпа, с полимерной фиброй, максимальной крупностью заполнителя до 3,0 мм, применяется для устранения дефектов глубиной от 10 до 35 мм на вертикальных и потолочных поверхностях без устройства опалубки. Расход 18,5 кг/кв.м на 1 см толщины</t>
  </si>
  <si>
    <t xml:space="preserve">Смесь безусадочная, быстротвердеющая тиксотропного типа, с гибкой стальной и полимерной фиброй, максимальной крупностью заполнителя до 3,0 мм, применяется для устранения дефектов глубиной от 20 до 60 мм. Расход 18,5 кг/кв.м на 1 см толщины </t>
  </si>
  <si>
    <t>Смесь безусадочная, быстротвердеющая наливного типа, с полимерной и стальной латунизированной фиброй, максимальной крупностью заполнителя до 3,0 мм, применяется для устранения дефектов глубиной от 20 до 60 мм, с устройством опалубки. Расход 21 кг/кв.м на 1 см толщины</t>
  </si>
  <si>
    <t>Смесь безусадочная, быстротвердеющая тиксотропного типа, с полимерной фиброй, максимальной крупностью заполнителя до 3,0 мм, применяется для устранения дефектов глубиной от 10 до 35 мм на вертикальных и потолочных поверхностях без устройства опалубки. Расход 18 кг/кв.м на 1 см толщины</t>
  </si>
  <si>
    <t>Смесь безусадочная, быстротвердеющая наливного типа, с полимерной фиброй, максимальной крупностью заполнителя до 10 мм, применяется для устранения дефектов глубиной  от 50 до 300 мм (аэродромы, дорожные покрытия). Расход 21,5 кг/кв.м на 1 см толщины</t>
  </si>
  <si>
    <t>Смесь безусадочная, быстротвердеющая наливного типа, с полимерной и стальной латунизированной фиброй, максимальной крупностью заполнителя до 10,0 мм, применяется для устранения дефектов глубиной от 70 до 300 мм (аэродромы, дорожные покрытия). Расход 22,5 кг/кв.м на 1 см толщины</t>
  </si>
  <si>
    <t>Смесь безусадочная, быстротвердеющая наливного типа, с максимальной крупностью заполнителя до 10 мм, применятеся для высокоточного монтажа оборудования, толщина заливки от 40 до 100 мм. Расход 21 кг/кв.м на 1 см толщины</t>
  </si>
  <si>
    <t>Смесь безусадочная, быстротвердеющая наливного типа, с максимальной крупностью заполнителя до 3,0 мм, применятеся для высокоточного монтажа оборудования, толщина заливки от 10 до 40 мм. Расход 19 кг/кв.м на 1 см толщины</t>
  </si>
  <si>
    <t>Двухкомопнентный эластичный состав на цементной основе, применяется для защиты цементобетонных поверхностей (бетона, штукатурок, стяжек) от внешних агрессивных факторов.</t>
  </si>
  <si>
    <t>MAPELASTIC Компонент В</t>
  </si>
  <si>
    <t>MAPELASTIC Компонент А+В</t>
  </si>
  <si>
    <t>Курс 42 руб.</t>
  </si>
  <si>
    <t>Курс 41 руб.</t>
  </si>
  <si>
    <t xml:space="preserve">Курс </t>
  </si>
  <si>
    <t>рубля</t>
  </si>
  <si>
    <t>Цена в руб. по курсу</t>
  </si>
  <si>
    <t>Краска</t>
  </si>
  <si>
    <t>www.akademia33.ru</t>
  </si>
  <si>
    <t>Промышленные цементные полы</t>
  </si>
  <si>
    <t>Mapetop N AR 6 Light Grey      </t>
  </si>
  <si>
    <t>25 кг</t>
  </si>
  <si>
    <t>Mapetop N AR 6  RED</t>
  </si>
  <si>
    <t>MAPETOP N AR6 Green</t>
  </si>
  <si>
    <t>Новые материалы для констракционного бетона</t>
  </si>
  <si>
    <t>STABILCEM</t>
  </si>
  <si>
    <t>20 кг</t>
  </si>
  <si>
    <t>MAPEGROUT 430</t>
  </si>
  <si>
    <t>Топпинг серого цвета</t>
  </si>
  <si>
    <t>Топпинг красного цвета</t>
  </si>
  <si>
    <t>Топпинг зеленого цвета</t>
  </si>
  <si>
    <t>Расширяющееся цементное вяжущее с очень высокой подвижностью для приготовления инъекционных растворов, строительных растворов с компенсированной усадкой</t>
  </si>
  <si>
    <t>Безусадочный быстротвердеющий мелкозернистый раствор средней прочности (более 30 Мпа), содержащий полимерную фибру, предназначенный для ремонта поверхности бетонных конструкций. Толщина нанесения от 5 до 35 мм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</si>
</sst>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0"/>
      <name val="Arial Cyr"/>
      <family val="0"/>
    </font>
    <font>
      <sz val="10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8"/>
      <color indexed="10"/>
      <name val="Arial"/>
      <family val="2"/>
    </font>
    <font>
      <sz val="8"/>
      <color indexed="8"/>
      <name val="Arial Cyr"/>
      <family val="0"/>
    </font>
    <font>
      <b/>
      <sz val="12"/>
      <color indexed="10"/>
      <name val="Arial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11"/>
      <color indexed="62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6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49" fontId="4" fillId="0" borderId="11" xfId="54" applyNumberFormat="1" applyBorder="1" applyAlignment="1">
      <alignment horizontal="center"/>
      <protection/>
    </xf>
    <xf numFmtId="49" fontId="4" fillId="0" borderId="12" xfId="54" applyNumberFormat="1" applyBorder="1" applyAlignment="1">
      <alignment horizontal="center"/>
      <protection/>
    </xf>
    <xf numFmtId="49" fontId="4" fillId="32" borderId="11" xfId="54" applyNumberFormat="1" applyFill="1" applyBorder="1" applyAlignment="1">
      <alignment horizontal="center"/>
      <protection/>
    </xf>
    <xf numFmtId="49" fontId="4" fillId="0" borderId="13" xfId="54" applyNumberFormat="1" applyBorder="1" applyAlignment="1">
      <alignment horizontal="center"/>
      <protection/>
    </xf>
    <xf numFmtId="49" fontId="4" fillId="0" borderId="14" xfId="54" applyNumberFormat="1" applyBorder="1" applyAlignment="1">
      <alignment horizontal="center"/>
      <protection/>
    </xf>
    <xf numFmtId="49" fontId="4" fillId="0" borderId="15" xfId="54" applyNumberFormat="1" applyBorder="1" applyAlignment="1">
      <alignment horizontal="center"/>
      <protection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14" xfId="57" applyFont="1" applyFill="1" applyBorder="1" applyProtection="1">
      <alignment/>
      <protection locked="0"/>
    </xf>
    <xf numFmtId="4" fontId="2" fillId="0" borderId="17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4" xfId="0" applyFont="1" applyBorder="1" applyAlignment="1">
      <alignment/>
    </xf>
    <xf numFmtId="0" fontId="2" fillId="0" borderId="20" xfId="57" applyFont="1" applyFill="1" applyBorder="1" applyProtection="1">
      <alignment/>
      <protection locked="0"/>
    </xf>
    <xf numFmtId="0" fontId="2" fillId="0" borderId="21" xfId="57" applyFont="1" applyFill="1" applyBorder="1" applyProtection="1">
      <alignment/>
      <protection locked="0"/>
    </xf>
    <xf numFmtId="0" fontId="12" fillId="33" borderId="14" xfId="0" applyFont="1" applyFill="1" applyBorder="1" applyAlignment="1">
      <alignment/>
    </xf>
    <xf numFmtId="0" fontId="12" fillId="0" borderId="21" xfId="0" applyFont="1" applyBorder="1" applyAlignment="1">
      <alignment/>
    </xf>
    <xf numFmtId="0" fontId="12" fillId="32" borderId="14" xfId="0" applyFont="1" applyFill="1" applyBorder="1" applyAlignment="1">
      <alignment/>
    </xf>
    <xf numFmtId="0" fontId="2" fillId="0" borderId="13" xfId="57" applyFont="1" applyFill="1" applyBorder="1" applyProtection="1">
      <alignment/>
      <protection locked="0"/>
    </xf>
    <xf numFmtId="0" fontId="2" fillId="0" borderId="15" xfId="57" applyFont="1" applyFill="1" applyBorder="1" applyProtection="1">
      <alignment/>
      <protection locked="0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7" xfId="57" applyFont="1" applyFill="1" applyBorder="1" applyAlignment="1" applyProtection="1">
      <alignment horizontal="center"/>
      <protection locked="0"/>
    </xf>
    <xf numFmtId="0" fontId="12" fillId="0" borderId="17" xfId="0" applyFont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32" borderId="17" xfId="0" applyFill="1" applyBorder="1" applyAlignment="1">
      <alignment/>
    </xf>
    <xf numFmtId="0" fontId="2" fillId="0" borderId="22" xfId="57" applyFont="1" applyFill="1" applyBorder="1" applyAlignment="1" applyProtection="1">
      <alignment horizontal="center" vertical="center"/>
      <protection locked="0"/>
    </xf>
    <xf numFmtId="0" fontId="2" fillId="0" borderId="17" xfId="57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horizontal="center" vertical="center"/>
    </xf>
    <xf numFmtId="14" fontId="2" fillId="0" borderId="0" xfId="57" applyNumberFormat="1" applyFont="1" applyFill="1" applyBorder="1" applyAlignment="1" applyProtection="1">
      <alignment horizontal="left"/>
      <protection locked="0"/>
    </xf>
    <xf numFmtId="0" fontId="2" fillId="0" borderId="0" xfId="57" applyFont="1" applyFill="1" applyBorder="1" applyAlignment="1" applyProtection="1">
      <alignment horizontal="right"/>
      <protection locked="0"/>
    </xf>
    <xf numFmtId="0" fontId="2" fillId="0" borderId="0" xfId="57" applyFont="1" applyFill="1" applyBorder="1" applyAlignment="1" applyProtection="1">
      <alignment horizontal="left"/>
      <protection locked="0"/>
    </xf>
    <xf numFmtId="0" fontId="2" fillId="0" borderId="0" xfId="57" applyFont="1" applyFill="1" applyBorder="1" applyAlignment="1" applyProtection="1">
      <alignment/>
      <protection locked="0"/>
    </xf>
    <xf numFmtId="0" fontId="2" fillId="0" borderId="24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0" fontId="2" fillId="0" borderId="0" xfId="57" applyFont="1" applyFill="1" applyBorder="1" applyAlignment="1" applyProtection="1">
      <alignment wrapText="1"/>
      <protection locked="0"/>
    </xf>
    <xf numFmtId="0" fontId="48" fillId="0" borderId="0" xfId="43" applyAlignment="1" applyProtection="1">
      <alignment/>
      <protection/>
    </xf>
    <xf numFmtId="0" fontId="0" fillId="0" borderId="28" xfId="0" applyBorder="1" applyAlignment="1">
      <alignment/>
    </xf>
    <xf numFmtId="0" fontId="0" fillId="34" borderId="28" xfId="0" applyFill="1" applyBorder="1" applyAlignment="1">
      <alignment/>
    </xf>
    <xf numFmtId="4" fontId="11" fillId="0" borderId="25" xfId="0" applyNumberFormat="1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32" borderId="14" xfId="0" applyFont="1" applyFill="1" applyBorder="1" applyAlignment="1">
      <alignment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2" fillId="0" borderId="20" xfId="57" applyFont="1" applyFill="1" applyBorder="1" applyAlignment="1" applyProtection="1">
      <alignment vertical="center" wrapText="1"/>
      <protection locked="0"/>
    </xf>
    <xf numFmtId="0" fontId="2" fillId="0" borderId="21" xfId="57" applyFont="1" applyFill="1" applyBorder="1" applyAlignment="1" applyProtection="1">
      <alignment vertical="center" wrapText="1"/>
      <protection locked="0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2" fillId="0" borderId="14" xfId="57" applyFont="1" applyFill="1" applyBorder="1" applyAlignment="1" applyProtection="1">
      <alignment vertical="center" wrapText="1"/>
      <protection locked="0"/>
    </xf>
    <xf numFmtId="0" fontId="12" fillId="0" borderId="19" xfId="0" applyFont="1" applyBorder="1" applyAlignment="1">
      <alignment vertical="center" wrapText="1"/>
    </xf>
    <xf numFmtId="0" fontId="2" fillId="0" borderId="21" xfId="57" applyFont="1" applyFill="1" applyBorder="1" applyAlignment="1" applyProtection="1">
      <alignment vertical="center"/>
      <protection locked="0"/>
    </xf>
    <xf numFmtId="0" fontId="2" fillId="0" borderId="22" xfId="57" applyFont="1" applyFill="1" applyBorder="1" applyAlignment="1" applyProtection="1">
      <alignment vertical="center"/>
      <protection locked="0"/>
    </xf>
    <xf numFmtId="0" fontId="12" fillId="0" borderId="14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2" fillId="0" borderId="19" xfId="57" applyFont="1" applyFill="1" applyBorder="1" applyAlignment="1" applyProtection="1">
      <alignment vertical="center" wrapText="1"/>
      <protection locked="0"/>
    </xf>
    <xf numFmtId="0" fontId="2" fillId="0" borderId="29" xfId="57" applyFont="1" applyFill="1" applyBorder="1" applyAlignment="1" applyProtection="1">
      <alignment horizontal="center" vertical="center" wrapText="1"/>
      <protection locked="0"/>
    </xf>
    <xf numFmtId="0" fontId="2" fillId="0" borderId="14" xfId="57" applyFont="1" applyFill="1" applyBorder="1" applyAlignment="1" applyProtection="1">
      <alignment vertical="center"/>
      <protection locked="0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vertical="center"/>
    </xf>
    <xf numFmtId="0" fontId="10" fillId="0" borderId="0" xfId="57" applyFont="1" applyFill="1" applyBorder="1" applyAlignment="1" applyProtection="1">
      <alignment/>
      <protection locked="0"/>
    </xf>
    <xf numFmtId="0" fontId="2" fillId="0" borderId="25" xfId="0" applyNumberFormat="1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" fontId="19" fillId="0" borderId="31" xfId="0" applyNumberFormat="1" applyFont="1" applyFill="1" applyBorder="1" applyAlignment="1">
      <alignment horizontal="center" vertical="center"/>
    </xf>
    <xf numFmtId="4" fontId="19" fillId="0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 wrapText="1"/>
    </xf>
    <xf numFmtId="4" fontId="22" fillId="0" borderId="25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1" fontId="2" fillId="0" borderId="25" xfId="0" applyNumberFormat="1" applyFont="1" applyFill="1" applyBorder="1" applyAlignment="1">
      <alignment horizontal="center" vertical="center"/>
    </xf>
    <xf numFmtId="2" fontId="23" fillId="0" borderId="25" xfId="0" applyNumberFormat="1" applyFont="1" applyBorder="1" applyAlignment="1">
      <alignment horizontal="center" vertical="center"/>
    </xf>
    <xf numFmtId="4" fontId="24" fillId="33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 horizontal="center"/>
    </xf>
    <xf numFmtId="2" fontId="23" fillId="0" borderId="25" xfId="0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wrapText="1"/>
    </xf>
    <xf numFmtId="2" fontId="0" fillId="0" borderId="25" xfId="0" applyNumberFormat="1" applyBorder="1" applyAlignment="1">
      <alignment horizontal="center" vertical="center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0" fontId="2" fillId="0" borderId="34" xfId="57" applyFont="1" applyFill="1" applyBorder="1" applyAlignment="1" applyProtection="1">
      <alignment vertical="center" wrapText="1"/>
      <protection locked="0"/>
    </xf>
    <xf numFmtId="0" fontId="2" fillId="0" borderId="35" xfId="57" applyFont="1" applyFill="1" applyBorder="1" applyAlignment="1" applyProtection="1">
      <alignment vertical="center" wrapText="1"/>
      <protection locked="0"/>
    </xf>
    <xf numFmtId="0" fontId="2" fillId="0" borderId="16" xfId="57" applyFont="1" applyFill="1" applyBorder="1" applyAlignment="1" applyProtection="1">
      <alignment vertical="center" wrapText="1"/>
      <protection locked="0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left" wrapText="1"/>
    </xf>
    <xf numFmtId="0" fontId="12" fillId="0" borderId="35" xfId="0" applyFont="1" applyBorder="1" applyAlignment="1">
      <alignment horizontal="left" wrapText="1"/>
    </xf>
    <xf numFmtId="4" fontId="19" fillId="0" borderId="36" xfId="0" applyNumberFormat="1" applyFont="1" applyFill="1" applyBorder="1" applyAlignment="1">
      <alignment horizontal="center" vertical="center"/>
    </xf>
    <xf numFmtId="4" fontId="19" fillId="0" borderId="37" xfId="0" applyNumberFormat="1" applyFont="1" applyFill="1" applyBorder="1" applyAlignment="1">
      <alignment horizontal="center" vertical="center"/>
    </xf>
    <xf numFmtId="4" fontId="19" fillId="0" borderId="30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29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4" fontId="22" fillId="0" borderId="25" xfId="0" applyNumberFormat="1" applyFont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left" vertical="center" wrapText="1"/>
    </xf>
    <xf numFmtId="0" fontId="2" fillId="0" borderId="41" xfId="0" applyNumberFormat="1" applyFont="1" applyFill="1" applyBorder="1" applyAlignment="1">
      <alignment horizontal="left" vertical="center" wrapText="1"/>
    </xf>
    <xf numFmtId="0" fontId="2" fillId="0" borderId="42" xfId="0" applyNumberFormat="1" applyFont="1" applyFill="1" applyBorder="1" applyAlignment="1">
      <alignment horizontal="left" vertical="center" wrapText="1"/>
    </xf>
    <xf numFmtId="0" fontId="2" fillId="0" borderId="43" xfId="0" applyNumberFormat="1" applyFont="1" applyFill="1" applyBorder="1" applyAlignment="1">
      <alignment horizontal="left" vertical="center" wrapText="1"/>
    </xf>
    <xf numFmtId="0" fontId="2" fillId="0" borderId="44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33" xfId="0" applyNumberFormat="1" applyFont="1" applyFill="1" applyBorder="1" applyAlignment="1">
      <alignment horizontal="left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11" fillId="0" borderId="39" xfId="0" applyNumberFormat="1" applyFont="1" applyFill="1" applyBorder="1" applyAlignment="1">
      <alignment horizontal="left" vertical="center" wrapText="1"/>
    </xf>
    <xf numFmtId="0" fontId="11" fillId="0" borderId="45" xfId="0" applyNumberFormat="1" applyFont="1" applyFill="1" applyBorder="1" applyAlignment="1">
      <alignment horizontal="left" vertical="center" wrapText="1"/>
    </xf>
    <xf numFmtId="0" fontId="2" fillId="0" borderId="46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8" fillId="0" borderId="32" xfId="0" applyNumberFormat="1" applyFont="1" applyFill="1" applyBorder="1" applyAlignment="1">
      <alignment horizontal="left" vertical="center" wrapText="1"/>
    </xf>
    <xf numFmtId="0" fontId="2" fillId="0" borderId="47" xfId="0" applyNumberFormat="1" applyFont="1" applyFill="1" applyBorder="1" applyAlignment="1">
      <alignment horizontal="left" vertical="center" wrapText="1"/>
    </xf>
    <xf numFmtId="0" fontId="2" fillId="0" borderId="48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0" fontId="8" fillId="0" borderId="49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left" vertical="center" wrapText="1"/>
    </xf>
    <xf numFmtId="0" fontId="25" fillId="0" borderId="31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ny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1895475</xdr:colOff>
      <xdr:row>2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114300</xdr:rowOff>
    </xdr:from>
    <xdr:to>
      <xdr:col>0</xdr:col>
      <xdr:colOff>2133600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2095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kademia33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zoomScalePageLayoutView="0" workbookViewId="0" topLeftCell="B1">
      <pane ySplit="7" topLeftCell="A8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9.00390625" style="0" hidden="1" customWidth="1"/>
    <col min="2" max="3" width="42.28125" style="0" customWidth="1"/>
    <col min="4" max="4" width="15.140625" style="0" customWidth="1"/>
    <col min="5" max="5" width="9.140625" style="4" customWidth="1"/>
    <col min="6" max="6" width="10.140625" style="4" bestFit="1" customWidth="1"/>
    <col min="7" max="16384" width="9.140625" style="4" customWidth="1"/>
  </cols>
  <sheetData>
    <row r="1" spans="4:5" ht="15" customHeight="1">
      <c r="D1" s="48"/>
      <c r="E1" s="35"/>
    </row>
    <row r="2" spans="3:4" ht="15.75">
      <c r="C2" s="90"/>
      <c r="D2" s="38"/>
    </row>
    <row r="3" spans="4:6" ht="18.75">
      <c r="D3" s="82" t="s">
        <v>300</v>
      </c>
      <c r="E3" s="85">
        <v>42</v>
      </c>
      <c r="F3" s="84" t="s">
        <v>301</v>
      </c>
    </row>
    <row r="4" ht="15.75" thickBot="1"/>
    <row r="5" spans="2:5" ht="21.75" customHeight="1" thickBot="1">
      <c r="B5" s="111" t="s">
        <v>280</v>
      </c>
      <c r="C5" s="112"/>
      <c r="D5" s="112"/>
      <c r="E5" s="50"/>
    </row>
    <row r="6" spans="2:5" ht="18.75" hidden="1" thickBot="1">
      <c r="B6" s="113" t="s">
        <v>214</v>
      </c>
      <c r="C6" s="114"/>
      <c r="D6" s="114"/>
      <c r="E6" s="51"/>
    </row>
    <row r="7" spans="1:6" s="1" customFormat="1" ht="23.25" thickBot="1">
      <c r="A7" s="2" t="s">
        <v>0</v>
      </c>
      <c r="B7" s="2" t="s">
        <v>1</v>
      </c>
      <c r="C7" s="60"/>
      <c r="D7" s="26" t="s">
        <v>2</v>
      </c>
      <c r="E7" s="88" t="s">
        <v>282</v>
      </c>
      <c r="F7" s="56" t="s">
        <v>302</v>
      </c>
    </row>
    <row r="8" spans="1:6" ht="24.75" customHeight="1">
      <c r="A8" s="3" t="s">
        <v>3</v>
      </c>
      <c r="B8" s="15" t="s">
        <v>4</v>
      </c>
      <c r="C8" s="115" t="s">
        <v>242</v>
      </c>
      <c r="D8" s="104" t="s">
        <v>5</v>
      </c>
      <c r="E8" s="117">
        <f>91.9685353535353*1.1</f>
        <v>101.16538888888884</v>
      </c>
      <c r="F8" s="127">
        <f>E8*$E$3</f>
        <v>4248.9463333333315</v>
      </c>
    </row>
    <row r="9" spans="1:6" ht="24.75" customHeight="1" thickBot="1">
      <c r="A9" s="3" t="s">
        <v>6</v>
      </c>
      <c r="B9" s="16" t="s">
        <v>7</v>
      </c>
      <c r="C9" s="116"/>
      <c r="D9" s="105" t="s">
        <v>5</v>
      </c>
      <c r="E9" s="118"/>
      <c r="F9" s="127"/>
    </row>
    <row r="10" spans="1:6" ht="20.25" customHeight="1">
      <c r="A10" s="5" t="s">
        <v>8</v>
      </c>
      <c r="B10" s="15" t="s">
        <v>9</v>
      </c>
      <c r="C10" s="115" t="s">
        <v>243</v>
      </c>
      <c r="D10" s="104" t="s">
        <v>10</v>
      </c>
      <c r="E10" s="117">
        <f>1.1*108.361452546296</f>
        <v>119.1975978009256</v>
      </c>
      <c r="F10" s="127">
        <f aca="true" t="shared" si="0" ref="F10:F72">E10*$E$3</f>
        <v>5006.299107638875</v>
      </c>
    </row>
    <row r="11" spans="1:6" ht="20.25" customHeight="1" thickBot="1">
      <c r="A11" s="6" t="s">
        <v>11</v>
      </c>
      <c r="B11" s="17" t="s">
        <v>12</v>
      </c>
      <c r="C11" s="116"/>
      <c r="D11" s="110" t="s">
        <v>5</v>
      </c>
      <c r="E11" s="118"/>
      <c r="F11" s="127"/>
    </row>
    <row r="12" spans="1:6" ht="15.75">
      <c r="A12" s="8" t="s">
        <v>13</v>
      </c>
      <c r="B12" s="15" t="s">
        <v>14</v>
      </c>
      <c r="C12" s="61" t="s">
        <v>303</v>
      </c>
      <c r="D12" s="14">
        <v>20</v>
      </c>
      <c r="E12" s="86">
        <f>100.50505952381*1.1</f>
        <v>110.55556547619102</v>
      </c>
      <c r="F12" s="89">
        <f t="shared" si="0"/>
        <v>4643.3337500000225</v>
      </c>
    </row>
    <row r="13" spans="1:6" ht="15.75">
      <c r="A13" s="9" t="s">
        <v>15</v>
      </c>
      <c r="B13" s="18" t="s">
        <v>16</v>
      </c>
      <c r="C13" s="62" t="s">
        <v>303</v>
      </c>
      <c r="D13" s="13">
        <v>20</v>
      </c>
      <c r="E13" s="86">
        <f>1.1*126.84005952381</f>
        <v>139.524065476191</v>
      </c>
      <c r="F13" s="89">
        <f t="shared" si="0"/>
        <v>5860.010750000022</v>
      </c>
    </row>
    <row r="14" spans="1:6" ht="15.75">
      <c r="A14" s="9" t="s">
        <v>17</v>
      </c>
      <c r="B14" s="18" t="s">
        <v>18</v>
      </c>
      <c r="C14" s="62" t="s">
        <v>303</v>
      </c>
      <c r="D14" s="13">
        <v>20</v>
      </c>
      <c r="E14" s="86">
        <f>1.1*117.58255952381</f>
        <v>129.340815476191</v>
      </c>
      <c r="F14" s="89">
        <f t="shared" si="0"/>
        <v>5432.314250000022</v>
      </c>
    </row>
    <row r="15" spans="1:6" ht="34.5" thickBot="1">
      <c r="A15" s="10" t="s">
        <v>19</v>
      </c>
      <c r="B15" s="65" t="s">
        <v>20</v>
      </c>
      <c r="C15" s="64" t="s">
        <v>244</v>
      </c>
      <c r="D15" s="53">
        <v>10</v>
      </c>
      <c r="E15" s="86">
        <f>1.1*104.76</f>
        <v>115.23600000000002</v>
      </c>
      <c r="F15" s="89">
        <f t="shared" si="0"/>
        <v>4839.912000000001</v>
      </c>
    </row>
    <row r="16" spans="1:6" ht="15.75" customHeight="1">
      <c r="A16" s="3" t="s">
        <v>21</v>
      </c>
      <c r="B16" s="15" t="s">
        <v>22</v>
      </c>
      <c r="C16" s="99" t="s">
        <v>245</v>
      </c>
      <c r="D16" s="104" t="s">
        <v>23</v>
      </c>
      <c r="E16" s="117">
        <f>1.1*45.300612654321</f>
        <v>49.8306739197531</v>
      </c>
      <c r="F16" s="127">
        <f t="shared" si="0"/>
        <v>2092.8883046296305</v>
      </c>
    </row>
    <row r="17" spans="1:6" ht="15.75" customHeight="1" thickBot="1">
      <c r="A17" s="3" t="s">
        <v>24</v>
      </c>
      <c r="B17" s="16" t="s">
        <v>25</v>
      </c>
      <c r="C17" s="100"/>
      <c r="D17" s="105" t="s">
        <v>23</v>
      </c>
      <c r="E17" s="118"/>
      <c r="F17" s="127"/>
    </row>
    <row r="18" spans="1:6" ht="15.75" customHeight="1">
      <c r="A18" s="3" t="s">
        <v>26</v>
      </c>
      <c r="B18" s="15" t="s">
        <v>27</v>
      </c>
      <c r="C18" s="99" t="s">
        <v>245</v>
      </c>
      <c r="D18" s="104" t="s">
        <v>28</v>
      </c>
      <c r="E18" s="117">
        <f>1.1*67.0966814113356</f>
        <v>73.80634955246916</v>
      </c>
      <c r="F18" s="127">
        <f t="shared" si="0"/>
        <v>3099.8666812037045</v>
      </c>
    </row>
    <row r="19" spans="1:6" ht="15.75" customHeight="1" thickBot="1">
      <c r="A19" s="3" t="s">
        <v>29</v>
      </c>
      <c r="B19" s="16" t="s">
        <v>30</v>
      </c>
      <c r="C19" s="100"/>
      <c r="D19" s="105" t="s">
        <v>28</v>
      </c>
      <c r="E19" s="118"/>
      <c r="F19" s="127"/>
    </row>
    <row r="20" spans="1:6" ht="15">
      <c r="A20" s="5" t="s">
        <v>31</v>
      </c>
      <c r="B20" s="15" t="s">
        <v>32</v>
      </c>
      <c r="C20" s="115" t="s">
        <v>246</v>
      </c>
      <c r="D20" s="104" t="s">
        <v>23</v>
      </c>
      <c r="E20" s="117">
        <f>1.1*53.75</f>
        <v>59.12500000000001</v>
      </c>
      <c r="F20" s="127">
        <f t="shared" si="0"/>
        <v>2483.2500000000005</v>
      </c>
    </row>
    <row r="21" spans="1:6" ht="15.75" thickBot="1">
      <c r="A21" s="5" t="s">
        <v>33</v>
      </c>
      <c r="B21" s="16" t="s">
        <v>34</v>
      </c>
      <c r="C21" s="116"/>
      <c r="D21" s="105" t="s">
        <v>28</v>
      </c>
      <c r="E21" s="118"/>
      <c r="F21" s="127"/>
    </row>
    <row r="22" spans="1:6" ht="15">
      <c r="A22" s="5" t="s">
        <v>35</v>
      </c>
      <c r="B22" s="15" t="s">
        <v>36</v>
      </c>
      <c r="C22" s="115" t="s">
        <v>246</v>
      </c>
      <c r="D22" s="104" t="s">
        <v>28</v>
      </c>
      <c r="E22" s="117">
        <f>1.1*75.5</f>
        <v>83.05000000000001</v>
      </c>
      <c r="F22" s="127">
        <f t="shared" si="0"/>
        <v>3488.1000000000004</v>
      </c>
    </row>
    <row r="23" spans="1:6" ht="15.75" thickBot="1">
      <c r="A23" s="5" t="s">
        <v>37</v>
      </c>
      <c r="B23" s="16" t="s">
        <v>38</v>
      </c>
      <c r="C23" s="116"/>
      <c r="D23" s="105" t="s">
        <v>28</v>
      </c>
      <c r="E23" s="118"/>
      <c r="F23" s="127"/>
    </row>
    <row r="24" spans="1:6" ht="18.75" customHeight="1">
      <c r="A24" s="3" t="s">
        <v>39</v>
      </c>
      <c r="B24" s="15" t="s">
        <v>40</v>
      </c>
      <c r="C24" s="115" t="s">
        <v>247</v>
      </c>
      <c r="D24" s="104" t="s">
        <v>41</v>
      </c>
      <c r="E24" s="117">
        <f>1.1*27.6403062107821</f>
        <v>30.404336831860313</v>
      </c>
      <c r="F24" s="127">
        <f t="shared" si="0"/>
        <v>1276.9821469381332</v>
      </c>
    </row>
    <row r="25" spans="1:6" ht="18.75" customHeight="1" thickBot="1">
      <c r="A25" s="3" t="s">
        <v>42</v>
      </c>
      <c r="B25" s="16" t="s">
        <v>43</v>
      </c>
      <c r="C25" s="116"/>
      <c r="D25" s="105" t="s">
        <v>41</v>
      </c>
      <c r="E25" s="118"/>
      <c r="F25" s="127"/>
    </row>
    <row r="26" spans="1:6" ht="18.75" customHeight="1">
      <c r="A26" s="3" t="s">
        <v>44</v>
      </c>
      <c r="B26" s="15" t="s">
        <v>45</v>
      </c>
      <c r="C26" s="115" t="s">
        <v>247</v>
      </c>
      <c r="D26" s="104" t="s">
        <v>46</v>
      </c>
      <c r="E26" s="117">
        <f>1.1*118.594785353535</f>
        <v>130.4542638888885</v>
      </c>
      <c r="F26" s="127">
        <f t="shared" si="0"/>
        <v>5479.079083333318</v>
      </c>
    </row>
    <row r="27" spans="1:6" ht="18.75" customHeight="1" thickBot="1">
      <c r="A27" s="3" t="s">
        <v>47</v>
      </c>
      <c r="B27" s="16" t="s">
        <v>48</v>
      </c>
      <c r="C27" s="116"/>
      <c r="D27" s="105" t="s">
        <v>46</v>
      </c>
      <c r="E27" s="118"/>
      <c r="F27" s="127"/>
    </row>
    <row r="28" spans="1:6" ht="36.75" customHeight="1" thickBot="1">
      <c r="A28" t="s">
        <v>49</v>
      </c>
      <c r="B28" s="19" t="s">
        <v>50</v>
      </c>
      <c r="C28" s="66" t="s">
        <v>248</v>
      </c>
      <c r="D28" s="11" t="s">
        <v>51</v>
      </c>
      <c r="E28" s="86">
        <f>1.1*8.24</f>
        <v>9.064000000000002</v>
      </c>
      <c r="F28" s="89">
        <f t="shared" si="0"/>
        <v>380.6880000000001</v>
      </c>
    </row>
    <row r="29" spans="1:6" ht="15">
      <c r="A29" s="5" t="s">
        <v>52</v>
      </c>
      <c r="B29" s="15" t="s">
        <v>53</v>
      </c>
      <c r="C29" s="122" t="s">
        <v>249</v>
      </c>
      <c r="D29" s="104" t="s">
        <v>54</v>
      </c>
      <c r="E29" s="117">
        <f>1.1*619.9</f>
        <v>681.89</v>
      </c>
      <c r="F29" s="127">
        <f t="shared" si="0"/>
        <v>28639.38</v>
      </c>
    </row>
    <row r="30" spans="1:6" ht="15.75" thickBot="1">
      <c r="A30" s="5" t="s">
        <v>55</v>
      </c>
      <c r="B30" s="16" t="s">
        <v>56</v>
      </c>
      <c r="C30" s="123"/>
      <c r="D30" s="105" t="s">
        <v>5</v>
      </c>
      <c r="E30" s="118"/>
      <c r="F30" s="127"/>
    </row>
    <row r="31" spans="1:6" ht="33.75">
      <c r="A31" t="s">
        <v>57</v>
      </c>
      <c r="B31" s="20" t="s">
        <v>58</v>
      </c>
      <c r="C31" s="67" t="s">
        <v>250</v>
      </c>
      <c r="D31" s="27">
        <v>5</v>
      </c>
      <c r="E31" s="86">
        <f>1.1*15.43</f>
        <v>16.973000000000003</v>
      </c>
      <c r="F31" s="89">
        <f t="shared" si="0"/>
        <v>712.8660000000001</v>
      </c>
    </row>
    <row r="32" spans="1:6" ht="15.75">
      <c r="A32" s="3" t="s">
        <v>59</v>
      </c>
      <c r="B32" s="18" t="s">
        <v>60</v>
      </c>
      <c r="C32" s="124" t="s">
        <v>251</v>
      </c>
      <c r="D32" s="28">
        <v>10</v>
      </c>
      <c r="E32" s="86">
        <f>1.1*46.33</f>
        <v>50.963</v>
      </c>
      <c r="F32" s="89">
        <f t="shared" si="0"/>
        <v>2140.446</v>
      </c>
    </row>
    <row r="33" spans="1:6" ht="16.5" thickBot="1">
      <c r="A33" s="5" t="s">
        <v>61</v>
      </c>
      <c r="B33" s="21" t="s">
        <v>62</v>
      </c>
      <c r="C33" s="100"/>
      <c r="D33" s="29">
        <v>2</v>
      </c>
      <c r="E33" s="86">
        <f>1.1*11.16</f>
        <v>12.276000000000002</v>
      </c>
      <c r="F33" s="89">
        <f t="shared" si="0"/>
        <v>515.5920000000001</v>
      </c>
    </row>
    <row r="34" spans="1:6" ht="15">
      <c r="A34" s="5" t="s">
        <v>63</v>
      </c>
      <c r="B34" s="15" t="s">
        <v>64</v>
      </c>
      <c r="C34" s="99" t="s">
        <v>252</v>
      </c>
      <c r="D34" s="104" t="s">
        <v>65</v>
      </c>
      <c r="E34" s="117">
        <f>1.1*142.525446808999</f>
        <v>156.7779914898989</v>
      </c>
      <c r="F34" s="127">
        <f t="shared" si="0"/>
        <v>6584.675642575754</v>
      </c>
    </row>
    <row r="35" spans="1:6" ht="15.75" thickBot="1">
      <c r="A35" s="5" t="s">
        <v>66</v>
      </c>
      <c r="B35" s="16" t="s">
        <v>67</v>
      </c>
      <c r="C35" s="100"/>
      <c r="D35" s="105" t="s">
        <v>5</v>
      </c>
      <c r="E35" s="118"/>
      <c r="F35" s="127"/>
    </row>
    <row r="36" spans="1:6" ht="15">
      <c r="A36" s="5" t="s">
        <v>68</v>
      </c>
      <c r="B36" s="15" t="s">
        <v>69</v>
      </c>
      <c r="C36" s="99" t="s">
        <v>252</v>
      </c>
      <c r="D36" s="104" t="s">
        <v>65</v>
      </c>
      <c r="E36" s="117">
        <f>1.1*145.087071808999</f>
        <v>159.59577898989892</v>
      </c>
      <c r="F36" s="127">
        <f t="shared" si="0"/>
        <v>6703.0227175757545</v>
      </c>
    </row>
    <row r="37" spans="1:6" ht="15.75" thickBot="1">
      <c r="A37" s="5" t="s">
        <v>66</v>
      </c>
      <c r="B37" s="16" t="s">
        <v>67</v>
      </c>
      <c r="C37" s="100"/>
      <c r="D37" s="105" t="s">
        <v>5</v>
      </c>
      <c r="E37" s="118"/>
      <c r="F37" s="127"/>
    </row>
    <row r="38" spans="1:6" ht="15">
      <c r="A38" s="5" t="s">
        <v>70</v>
      </c>
      <c r="B38" s="15" t="s">
        <v>71</v>
      </c>
      <c r="C38" s="99" t="s">
        <v>253</v>
      </c>
      <c r="D38" s="104" t="s">
        <v>72</v>
      </c>
      <c r="E38" s="117">
        <f>1.1*310.78</f>
        <v>341.858</v>
      </c>
      <c r="F38" s="127">
        <f t="shared" si="0"/>
        <v>14358.036</v>
      </c>
    </row>
    <row r="39" spans="1:6" ht="15.75" thickBot="1">
      <c r="A39" s="5" t="s">
        <v>73</v>
      </c>
      <c r="B39" s="16" t="s">
        <v>74</v>
      </c>
      <c r="C39" s="100"/>
      <c r="D39" s="105" t="s">
        <v>5</v>
      </c>
      <c r="E39" s="118"/>
      <c r="F39" s="127"/>
    </row>
    <row r="40" spans="1:6" ht="15.75">
      <c r="A40" s="5" t="s">
        <v>75</v>
      </c>
      <c r="B40" s="22" t="s">
        <v>76</v>
      </c>
      <c r="C40" s="99" t="s">
        <v>254</v>
      </c>
      <c r="D40" s="30" t="s">
        <v>77</v>
      </c>
      <c r="E40" s="86">
        <f>1.1*70.8152315750093</f>
        <v>77.89675473251025</v>
      </c>
      <c r="F40" s="89">
        <f t="shared" si="0"/>
        <v>3271.66369876543</v>
      </c>
    </row>
    <row r="41" spans="1:6" ht="15.75">
      <c r="A41" s="5" t="s">
        <v>78</v>
      </c>
      <c r="B41" s="18" t="s">
        <v>79</v>
      </c>
      <c r="C41" s="125"/>
      <c r="D41" s="28" t="s">
        <v>77</v>
      </c>
      <c r="E41" s="86">
        <f>1.1*64.6858725215114</f>
        <v>71.15445977366255</v>
      </c>
      <c r="F41" s="89">
        <f t="shared" si="0"/>
        <v>2988.487310493827</v>
      </c>
    </row>
    <row r="42" spans="1:6" ht="15.75">
      <c r="A42" s="5" t="s">
        <v>80</v>
      </c>
      <c r="B42" s="18" t="s">
        <v>81</v>
      </c>
      <c r="C42" s="125"/>
      <c r="D42" s="28" t="s">
        <v>77</v>
      </c>
      <c r="E42" s="86">
        <f>1.1*71.8028725215114</f>
        <v>78.98315977366255</v>
      </c>
      <c r="F42" s="89">
        <f t="shared" si="0"/>
        <v>3317.292710493827</v>
      </c>
    </row>
    <row r="43" spans="1:6" ht="15.75">
      <c r="A43" s="5" t="s">
        <v>82</v>
      </c>
      <c r="B43" s="18" t="s">
        <v>83</v>
      </c>
      <c r="C43" s="125"/>
      <c r="D43" s="28" t="s">
        <v>77</v>
      </c>
      <c r="E43" s="86">
        <f>1.1*71.0328725215114</f>
        <v>78.13615977366254</v>
      </c>
      <c r="F43" s="89">
        <f t="shared" si="0"/>
        <v>3281.7187104938266</v>
      </c>
    </row>
    <row r="44" spans="1:6" ht="15.75">
      <c r="A44" s="5" t="s">
        <v>84</v>
      </c>
      <c r="B44" s="18" t="s">
        <v>85</v>
      </c>
      <c r="C44" s="125"/>
      <c r="D44" s="28" t="s">
        <v>77</v>
      </c>
      <c r="E44" s="86">
        <f>1.1*71.5718725215114</f>
        <v>78.72905977366254</v>
      </c>
      <c r="F44" s="89">
        <f t="shared" si="0"/>
        <v>3306.6205104938267</v>
      </c>
    </row>
    <row r="45" spans="1:6" ht="15.75">
      <c r="A45" s="5" t="s">
        <v>86</v>
      </c>
      <c r="B45" s="18" t="s">
        <v>87</v>
      </c>
      <c r="C45" s="125"/>
      <c r="D45" s="28" t="s">
        <v>77</v>
      </c>
      <c r="E45" s="86">
        <f>1.1*76.6208725215114</f>
        <v>84.28295977366255</v>
      </c>
      <c r="F45" s="89">
        <f t="shared" si="0"/>
        <v>3539.8843104938273</v>
      </c>
    </row>
    <row r="46" spans="1:6" ht="15.75">
      <c r="A46" s="5" t="s">
        <v>88</v>
      </c>
      <c r="B46" s="18" t="s">
        <v>89</v>
      </c>
      <c r="C46" s="125"/>
      <c r="D46" s="28" t="s">
        <v>77</v>
      </c>
      <c r="E46" s="86">
        <f>1.1*69.8228725215114</f>
        <v>76.80515977366255</v>
      </c>
      <c r="F46" s="89">
        <f t="shared" si="0"/>
        <v>3225.816710493827</v>
      </c>
    </row>
    <row r="47" spans="1:6" ht="15.75">
      <c r="A47" s="5" t="s">
        <v>90</v>
      </c>
      <c r="B47" s="18" t="s">
        <v>91</v>
      </c>
      <c r="C47" s="125"/>
      <c r="D47" s="28" t="s">
        <v>77</v>
      </c>
      <c r="E47" s="86">
        <f>1.1*95.4088725215114</f>
        <v>104.94975977366255</v>
      </c>
      <c r="F47" s="89">
        <f t="shared" si="0"/>
        <v>4407.889910493827</v>
      </c>
    </row>
    <row r="48" spans="1:6" ht="15.75">
      <c r="A48" s="5" t="s">
        <v>92</v>
      </c>
      <c r="B48" s="18" t="s">
        <v>93</v>
      </c>
      <c r="C48" s="125"/>
      <c r="D48" s="28" t="s">
        <v>77</v>
      </c>
      <c r="E48" s="86">
        <f>1.1*76.3128725215114</f>
        <v>83.94415977366253</v>
      </c>
      <c r="F48" s="89">
        <f t="shared" si="0"/>
        <v>3525.6547104938263</v>
      </c>
    </row>
    <row r="49" spans="1:6" ht="15.75">
      <c r="A49" s="5" t="s">
        <v>94</v>
      </c>
      <c r="B49" s="18" t="s">
        <v>95</v>
      </c>
      <c r="C49" s="125"/>
      <c r="D49" s="28" t="s">
        <v>77</v>
      </c>
      <c r="E49" s="86">
        <f>1.1*81.5818725215114</f>
        <v>89.74005977366255</v>
      </c>
      <c r="F49" s="89">
        <f t="shared" si="0"/>
        <v>3769.082510493827</v>
      </c>
    </row>
    <row r="50" spans="1:6" ht="15.75">
      <c r="A50" s="5" t="s">
        <v>96</v>
      </c>
      <c r="B50" s="18" t="s">
        <v>97</v>
      </c>
      <c r="C50" s="125"/>
      <c r="D50" s="28" t="s">
        <v>77</v>
      </c>
      <c r="E50" s="86">
        <f>1.1*73.4638725215114</f>
        <v>80.81025977366255</v>
      </c>
      <c r="F50" s="89">
        <f t="shared" si="0"/>
        <v>3394.030910493827</v>
      </c>
    </row>
    <row r="51" spans="1:6" ht="15.75">
      <c r="A51" s="5" t="s">
        <v>98</v>
      </c>
      <c r="B51" s="18" t="s">
        <v>99</v>
      </c>
      <c r="C51" s="125"/>
      <c r="D51" s="28" t="s">
        <v>77</v>
      </c>
      <c r="E51" s="86">
        <f>1.1*72.1658725215114</f>
        <v>79.38245977366255</v>
      </c>
      <c r="F51" s="89">
        <f t="shared" si="0"/>
        <v>3334.063310493827</v>
      </c>
    </row>
    <row r="52" spans="1:6" ht="15.75">
      <c r="A52" s="5" t="s">
        <v>100</v>
      </c>
      <c r="B52" s="18" t="s">
        <v>101</v>
      </c>
      <c r="C52" s="125"/>
      <c r="D52" s="28" t="s">
        <v>77</v>
      </c>
      <c r="E52" s="86">
        <f>1.1*80.3718725215114</f>
        <v>88.40905977366255</v>
      </c>
      <c r="F52" s="89">
        <f t="shared" si="0"/>
        <v>3713.180510493827</v>
      </c>
    </row>
    <row r="53" spans="1:6" ht="15.75">
      <c r="A53" s="5" t="s">
        <v>102</v>
      </c>
      <c r="B53" s="18" t="s">
        <v>103</v>
      </c>
      <c r="C53" s="125"/>
      <c r="D53" s="28" t="s">
        <v>77</v>
      </c>
      <c r="E53" s="86">
        <f>1.1*79.2938725215114</f>
        <v>87.22325977366255</v>
      </c>
      <c r="F53" s="89">
        <f t="shared" si="0"/>
        <v>3663.376910493827</v>
      </c>
    </row>
    <row r="54" spans="1:6" ht="15.75">
      <c r="A54" s="5" t="s">
        <v>104</v>
      </c>
      <c r="B54" s="18" t="s">
        <v>105</v>
      </c>
      <c r="C54" s="125"/>
      <c r="D54" s="28" t="s">
        <v>77</v>
      </c>
      <c r="E54" s="86">
        <f>1.1*78.0288725215114</f>
        <v>85.83175977366255</v>
      </c>
      <c r="F54" s="89">
        <f t="shared" si="0"/>
        <v>3604.933910493827</v>
      </c>
    </row>
    <row r="55" spans="1:6" ht="15.75">
      <c r="A55" s="5" t="s">
        <v>106</v>
      </c>
      <c r="B55" s="18" t="s">
        <v>107</v>
      </c>
      <c r="C55" s="125"/>
      <c r="D55" s="28" t="s">
        <v>77</v>
      </c>
      <c r="E55" s="86">
        <f>1.1*73.4638725215114</f>
        <v>80.81025977366255</v>
      </c>
      <c r="F55" s="89">
        <f t="shared" si="0"/>
        <v>3394.030910493827</v>
      </c>
    </row>
    <row r="56" spans="1:6" ht="15.75">
      <c r="A56" s="5" t="s">
        <v>108</v>
      </c>
      <c r="B56" s="18" t="s">
        <v>109</v>
      </c>
      <c r="C56" s="125"/>
      <c r="D56" s="28" t="s">
        <v>77</v>
      </c>
      <c r="E56" s="86">
        <f>1.1*71.4728725215114</f>
        <v>78.62015977366255</v>
      </c>
      <c r="F56" s="89">
        <f t="shared" si="0"/>
        <v>3302.046710493827</v>
      </c>
    </row>
    <row r="57" spans="1:6" ht="15.75">
      <c r="A57" s="5" t="s">
        <v>110</v>
      </c>
      <c r="B57" s="18" t="s">
        <v>111</v>
      </c>
      <c r="C57" s="125"/>
      <c r="D57" s="28" t="s">
        <v>77</v>
      </c>
      <c r="E57" s="86">
        <f>1.1*74.2778725215114</f>
        <v>81.70565977366255</v>
      </c>
      <c r="F57" s="89">
        <f t="shared" si="0"/>
        <v>3431.637710493827</v>
      </c>
    </row>
    <row r="58" spans="1:6" ht="15.75">
      <c r="A58" s="5" t="s">
        <v>112</v>
      </c>
      <c r="B58" s="18" t="s">
        <v>113</v>
      </c>
      <c r="C58" s="125"/>
      <c r="D58" s="28" t="s">
        <v>77</v>
      </c>
      <c r="E58" s="86">
        <f>1.1*72.4408725215114</f>
        <v>79.68495977366254</v>
      </c>
      <c r="F58" s="89">
        <f t="shared" si="0"/>
        <v>3346.768310493827</v>
      </c>
    </row>
    <row r="59" spans="1:6" ht="15.75">
      <c r="A59" s="5" t="s">
        <v>114</v>
      </c>
      <c r="B59" s="18" t="s">
        <v>115</v>
      </c>
      <c r="C59" s="125"/>
      <c r="D59" s="28" t="s">
        <v>77</v>
      </c>
      <c r="E59" s="86">
        <f>1.1*71.0878725215114</f>
        <v>78.19665977366255</v>
      </c>
      <c r="F59" s="89">
        <f t="shared" si="0"/>
        <v>3284.259710493827</v>
      </c>
    </row>
    <row r="60" spans="1:6" ht="15.75">
      <c r="A60" s="5" t="s">
        <v>116</v>
      </c>
      <c r="B60" s="18" t="s">
        <v>117</v>
      </c>
      <c r="C60" s="125"/>
      <c r="D60" s="28" t="s">
        <v>77</v>
      </c>
      <c r="E60" s="86">
        <f>1.1*71.8468725215114</f>
        <v>79.03155977366255</v>
      </c>
      <c r="F60" s="89">
        <f t="shared" si="0"/>
        <v>3319.325510493827</v>
      </c>
    </row>
    <row r="61" spans="1:6" ht="15.75">
      <c r="A61" s="5" t="s">
        <v>118</v>
      </c>
      <c r="B61" s="18" t="s">
        <v>119</v>
      </c>
      <c r="C61" s="125"/>
      <c r="D61" s="28" t="s">
        <v>77</v>
      </c>
      <c r="E61" s="86">
        <f>1.1*70.8788725215114</f>
        <v>77.96675977366255</v>
      </c>
      <c r="F61" s="89">
        <f t="shared" si="0"/>
        <v>3274.603910493827</v>
      </c>
    </row>
    <row r="62" spans="1:6" ht="15.75">
      <c r="A62" s="5" t="s">
        <v>120</v>
      </c>
      <c r="B62" s="18" t="s">
        <v>121</v>
      </c>
      <c r="C62" s="126"/>
      <c r="D62" s="28" t="s">
        <v>77</v>
      </c>
      <c r="E62" s="86">
        <f>1.1*72.7048725215114</f>
        <v>79.97535977366255</v>
      </c>
      <c r="F62" s="89">
        <f t="shared" si="0"/>
        <v>3358.965110493827</v>
      </c>
    </row>
    <row r="63" spans="1:6" ht="15.75" customHeight="1" hidden="1" thickBot="1">
      <c r="A63" s="7" t="s">
        <v>122</v>
      </c>
      <c r="B63" s="23" t="s">
        <v>123</v>
      </c>
      <c r="C63" s="63"/>
      <c r="D63" s="28" t="s">
        <v>124</v>
      </c>
      <c r="E63" s="86">
        <v>0</v>
      </c>
      <c r="F63" s="89">
        <f t="shared" si="0"/>
        <v>0</v>
      </c>
    </row>
    <row r="64" spans="1:6" ht="15.75">
      <c r="A64" s="5" t="s">
        <v>125</v>
      </c>
      <c r="B64" s="18" t="s">
        <v>126</v>
      </c>
      <c r="C64" s="124" t="s">
        <v>255</v>
      </c>
      <c r="D64" s="28" t="s">
        <v>127</v>
      </c>
      <c r="E64" s="86">
        <f>1.1*595.9</f>
        <v>655.49</v>
      </c>
      <c r="F64" s="89">
        <f t="shared" si="0"/>
        <v>27530.58</v>
      </c>
    </row>
    <row r="65" spans="1:6" ht="15.75">
      <c r="A65" s="5" t="s">
        <v>128</v>
      </c>
      <c r="B65" s="18" t="s">
        <v>129</v>
      </c>
      <c r="C65" s="125"/>
      <c r="D65" s="28" t="s">
        <v>127</v>
      </c>
      <c r="E65" s="86">
        <f>1.1*442.49</f>
        <v>486.73900000000003</v>
      </c>
      <c r="F65" s="89">
        <f t="shared" si="0"/>
        <v>20443.038</v>
      </c>
    </row>
    <row r="66" spans="1:6" ht="15.75">
      <c r="A66" s="5" t="s">
        <v>130</v>
      </c>
      <c r="B66" s="18" t="s">
        <v>131</v>
      </c>
      <c r="C66" s="126"/>
      <c r="D66" s="28" t="s">
        <v>127</v>
      </c>
      <c r="E66" s="86">
        <f>1.1*493.95</f>
        <v>543.345</v>
      </c>
      <c r="F66" s="89">
        <f t="shared" si="0"/>
        <v>22820.49</v>
      </c>
    </row>
    <row r="67" spans="1:6" ht="15.75" customHeight="1" hidden="1" thickBot="1">
      <c r="A67" s="7" t="s">
        <v>132</v>
      </c>
      <c r="B67" s="23" t="s">
        <v>133</v>
      </c>
      <c r="C67" s="63"/>
      <c r="D67" s="28" t="s">
        <v>127</v>
      </c>
      <c r="E67" s="86">
        <v>107.52355707070707</v>
      </c>
      <c r="F67" s="89">
        <f t="shared" si="0"/>
        <v>4515.989396969697</v>
      </c>
    </row>
    <row r="68" spans="1:6" ht="15.75">
      <c r="A68" s="5" t="s">
        <v>134</v>
      </c>
      <c r="B68" s="18" t="s">
        <v>135</v>
      </c>
      <c r="C68" s="124" t="s">
        <v>256</v>
      </c>
      <c r="D68" s="28" t="s">
        <v>136</v>
      </c>
      <c r="E68" s="86">
        <f>1.1*185.78</f>
        <v>204.358</v>
      </c>
      <c r="F68" s="89">
        <f t="shared" si="0"/>
        <v>8583.036</v>
      </c>
    </row>
    <row r="69" spans="1:6" ht="15.75">
      <c r="A69" s="5" t="s">
        <v>137</v>
      </c>
      <c r="B69" s="18" t="s">
        <v>138</v>
      </c>
      <c r="C69" s="125"/>
      <c r="D69" s="28" t="s">
        <v>136</v>
      </c>
      <c r="E69" s="86">
        <f>1.1*180.78</f>
        <v>198.858</v>
      </c>
      <c r="F69" s="89">
        <f t="shared" si="0"/>
        <v>8352.036</v>
      </c>
    </row>
    <row r="70" spans="1:6" ht="15.75">
      <c r="A70" s="5" t="s">
        <v>139</v>
      </c>
      <c r="B70" s="18" t="s">
        <v>140</v>
      </c>
      <c r="C70" s="126"/>
      <c r="D70" s="28" t="s">
        <v>136</v>
      </c>
      <c r="E70" s="86">
        <f>1.1*179.48</f>
        <v>197.428</v>
      </c>
      <c r="F70" s="89">
        <f t="shared" si="0"/>
        <v>8291.976</v>
      </c>
    </row>
    <row r="71" spans="1:6" ht="15.75" customHeight="1" hidden="1" thickBot="1">
      <c r="A71" s="7" t="s">
        <v>141</v>
      </c>
      <c r="B71" s="23" t="s">
        <v>142</v>
      </c>
      <c r="C71" s="63"/>
      <c r="D71" s="31"/>
      <c r="E71" s="86">
        <v>58.04336805555556</v>
      </c>
      <c r="F71" s="89">
        <f t="shared" si="0"/>
        <v>2437.821458333334</v>
      </c>
    </row>
    <row r="72" spans="1:6" ht="33.75">
      <c r="A72" s="3" t="s">
        <v>143</v>
      </c>
      <c r="B72" s="69" t="s">
        <v>144</v>
      </c>
      <c r="C72" s="68" t="s">
        <v>257</v>
      </c>
      <c r="D72" s="70">
        <v>25</v>
      </c>
      <c r="E72" s="86">
        <f>1.1*162.55</f>
        <v>178.80500000000004</v>
      </c>
      <c r="F72" s="89">
        <f t="shared" si="0"/>
        <v>7509.810000000001</v>
      </c>
    </row>
    <row r="73" spans="1:6" ht="22.5">
      <c r="A73" s="3" t="s">
        <v>145</v>
      </c>
      <c r="B73" s="18" t="s">
        <v>146</v>
      </c>
      <c r="C73" s="68" t="s">
        <v>258</v>
      </c>
      <c r="D73" s="28">
        <v>24</v>
      </c>
      <c r="E73" s="86">
        <f>1.1*211.275</f>
        <v>232.40250000000003</v>
      </c>
      <c r="F73" s="89">
        <f aca="true" t="shared" si="1" ref="F73:F101">E73*$E$3</f>
        <v>9760.905</v>
      </c>
    </row>
    <row r="74" spans="1:6" ht="23.25" customHeight="1">
      <c r="A74" s="3" t="s">
        <v>147</v>
      </c>
      <c r="B74" s="18" t="s">
        <v>148</v>
      </c>
      <c r="C74" s="124" t="s">
        <v>259</v>
      </c>
      <c r="D74" s="28">
        <v>0.25</v>
      </c>
      <c r="E74" s="86">
        <f>1.1*3.7125</f>
        <v>4.08375</v>
      </c>
      <c r="F74" s="89">
        <f t="shared" si="1"/>
        <v>171.5175</v>
      </c>
    </row>
    <row r="75" spans="1:6" ht="15.75">
      <c r="A75" s="3" t="s">
        <v>149</v>
      </c>
      <c r="B75" s="18" t="s">
        <v>150</v>
      </c>
      <c r="C75" s="126"/>
      <c r="D75" s="28">
        <v>20</v>
      </c>
      <c r="E75" s="86">
        <f>1.1*210.84158459596</f>
        <v>231.925743055556</v>
      </c>
      <c r="F75" s="89">
        <f t="shared" si="1"/>
        <v>9740.881208333352</v>
      </c>
    </row>
    <row r="76" spans="1:6" ht="22.5">
      <c r="A76" t="s">
        <v>151</v>
      </c>
      <c r="B76" s="12" t="s">
        <v>152</v>
      </c>
      <c r="C76" s="71" t="s">
        <v>260</v>
      </c>
      <c r="D76" s="27">
        <v>5</v>
      </c>
      <c r="E76" s="86">
        <f>1.1*10.59</f>
        <v>11.649000000000001</v>
      </c>
      <c r="F76" s="89">
        <f t="shared" si="1"/>
        <v>489.25800000000004</v>
      </c>
    </row>
    <row r="77" spans="1:6" ht="22.5">
      <c r="A77" t="s">
        <v>153</v>
      </c>
      <c r="B77" s="12" t="s">
        <v>154</v>
      </c>
      <c r="C77" s="71" t="s">
        <v>261</v>
      </c>
      <c r="D77" s="27">
        <v>2</v>
      </c>
      <c r="E77" s="86">
        <f>1.1*9.88232323232323</f>
        <v>10.870555555555555</v>
      </c>
      <c r="F77" s="89">
        <f t="shared" si="1"/>
        <v>456.5633333333333</v>
      </c>
    </row>
    <row r="78" spans="1:6" ht="23.25" thickBot="1">
      <c r="A78" s="5" t="s">
        <v>155</v>
      </c>
      <c r="B78" s="17" t="s">
        <v>156</v>
      </c>
      <c r="C78" s="72" t="s">
        <v>262</v>
      </c>
      <c r="D78" s="28">
        <v>25</v>
      </c>
      <c r="E78" s="86">
        <f>1.1*27.79296875</f>
        <v>30.572265625000004</v>
      </c>
      <c r="F78" s="89">
        <f t="shared" si="1"/>
        <v>1284.0351562500002</v>
      </c>
    </row>
    <row r="79" spans="1:6" ht="15.75" customHeight="1">
      <c r="A79" t="s">
        <v>157</v>
      </c>
      <c r="B79" s="15" t="s">
        <v>158</v>
      </c>
      <c r="C79" s="122" t="s">
        <v>263</v>
      </c>
      <c r="D79" s="104" t="s">
        <v>159</v>
      </c>
      <c r="E79" s="117">
        <f>1.1*53.2678366265191</f>
        <v>58.59462028917101</v>
      </c>
      <c r="F79" s="127">
        <f t="shared" si="1"/>
        <v>2460.9740521451827</v>
      </c>
    </row>
    <row r="80" spans="1:6" ht="15.75" customHeight="1" thickBot="1">
      <c r="A80" s="5" t="s">
        <v>160</v>
      </c>
      <c r="B80" s="16" t="s">
        <v>161</v>
      </c>
      <c r="C80" s="123"/>
      <c r="D80" s="105"/>
      <c r="E80" s="118"/>
      <c r="F80" s="127"/>
    </row>
    <row r="81" spans="1:6" ht="15">
      <c r="A81" s="5" t="s">
        <v>162</v>
      </c>
      <c r="B81" s="15" t="s">
        <v>163</v>
      </c>
      <c r="C81" s="99" t="s">
        <v>264</v>
      </c>
      <c r="D81" s="106" t="s">
        <v>164</v>
      </c>
      <c r="E81" s="117">
        <f>1.1*172.99</f>
        <v>190.28900000000002</v>
      </c>
      <c r="F81" s="127">
        <f t="shared" si="1"/>
        <v>7992.138000000001</v>
      </c>
    </row>
    <row r="82" spans="1:6" ht="15.75" thickBot="1">
      <c r="A82" s="5" t="s">
        <v>165</v>
      </c>
      <c r="B82" s="16" t="s">
        <v>166</v>
      </c>
      <c r="C82" s="100"/>
      <c r="D82" s="107"/>
      <c r="E82" s="118"/>
      <c r="F82" s="127"/>
    </row>
    <row r="83" spans="1:6" ht="67.5">
      <c r="A83" s="5" t="s">
        <v>167</v>
      </c>
      <c r="B83" s="73" t="s">
        <v>168</v>
      </c>
      <c r="C83" s="67" t="s">
        <v>265</v>
      </c>
      <c r="D83" s="74">
        <v>25</v>
      </c>
      <c r="E83" s="86">
        <f>1.1*26.925</f>
        <v>29.617500000000003</v>
      </c>
      <c r="F83" s="89">
        <f t="shared" si="1"/>
        <v>1243.9350000000002</v>
      </c>
    </row>
    <row r="84" spans="1:6" ht="15.75">
      <c r="A84" t="s">
        <v>169</v>
      </c>
      <c r="B84" s="12" t="s">
        <v>170</v>
      </c>
      <c r="C84" s="12"/>
      <c r="D84" s="27">
        <v>25</v>
      </c>
      <c r="E84" s="86">
        <f>1.1*31.9125</f>
        <v>35.103750000000005</v>
      </c>
      <c r="F84" s="89">
        <f t="shared" si="1"/>
        <v>1474.3575000000003</v>
      </c>
    </row>
    <row r="85" spans="1:6" ht="56.25">
      <c r="A85" s="5" t="s">
        <v>171</v>
      </c>
      <c r="B85" s="75" t="s">
        <v>172</v>
      </c>
      <c r="C85" s="68" t="s">
        <v>266</v>
      </c>
      <c r="D85" s="76">
        <v>25</v>
      </c>
      <c r="E85" s="86">
        <f>1.1*36.25</f>
        <v>39.875</v>
      </c>
      <c r="F85" s="89">
        <f t="shared" si="1"/>
        <v>1674.75</v>
      </c>
    </row>
    <row r="86" spans="1:6" ht="56.25">
      <c r="A86" s="5" t="s">
        <v>173</v>
      </c>
      <c r="B86" s="69" t="s">
        <v>174</v>
      </c>
      <c r="C86" s="68" t="s">
        <v>267</v>
      </c>
      <c r="D86" s="33">
        <v>25</v>
      </c>
      <c r="E86" s="86">
        <f>1.1*36.15</f>
        <v>39.765</v>
      </c>
      <c r="F86" s="89">
        <f t="shared" si="1"/>
        <v>1670.13</v>
      </c>
    </row>
    <row r="87" spans="1:6" ht="57" thickBot="1">
      <c r="A87" s="5" t="s">
        <v>175</v>
      </c>
      <c r="B87" s="69" t="s">
        <v>176</v>
      </c>
      <c r="C87" s="68" t="s">
        <v>268</v>
      </c>
      <c r="D87" s="76">
        <v>25</v>
      </c>
      <c r="E87" s="86">
        <f>1.1*35.625</f>
        <v>39.1875</v>
      </c>
      <c r="F87" s="89">
        <f t="shared" si="1"/>
        <v>1645.875</v>
      </c>
    </row>
    <row r="88" spans="1:6" ht="15">
      <c r="A88" s="5" t="s">
        <v>177</v>
      </c>
      <c r="B88" s="15" t="s">
        <v>178</v>
      </c>
      <c r="C88" s="99" t="s">
        <v>269</v>
      </c>
      <c r="D88" s="104" t="s">
        <v>179</v>
      </c>
      <c r="E88" s="117">
        <f>1.1*45.5875</f>
        <v>50.14625</v>
      </c>
      <c r="F88" s="127">
        <f t="shared" si="1"/>
        <v>2106.1425</v>
      </c>
    </row>
    <row r="89" spans="1:6" ht="15.75" thickBot="1">
      <c r="A89" s="5" t="s">
        <v>180</v>
      </c>
      <c r="B89" s="16" t="s">
        <v>181</v>
      </c>
      <c r="C89" s="100"/>
      <c r="D89" s="105" t="s">
        <v>182</v>
      </c>
      <c r="E89" s="118"/>
      <c r="F89" s="127"/>
    </row>
    <row r="90" spans="1:6" ht="57" thickBot="1">
      <c r="A90" t="s">
        <v>183</v>
      </c>
      <c r="B90" s="77" t="s">
        <v>234</v>
      </c>
      <c r="C90" s="77" t="s">
        <v>270</v>
      </c>
      <c r="D90" s="78">
        <v>8</v>
      </c>
      <c r="E90" s="87">
        <f>1.1035*53.09</f>
        <v>58.584815</v>
      </c>
      <c r="F90" s="89">
        <f t="shared" si="1"/>
        <v>2460.56223</v>
      </c>
    </row>
    <row r="91" spans="1:6" ht="18.75" customHeight="1">
      <c r="A91" s="3" t="s">
        <v>184</v>
      </c>
      <c r="B91" s="24" t="s">
        <v>185</v>
      </c>
      <c r="C91" s="101" t="s">
        <v>271</v>
      </c>
      <c r="D91" s="104" t="s">
        <v>186</v>
      </c>
      <c r="E91" s="117">
        <f>1.1*88.95</f>
        <v>97.84500000000001</v>
      </c>
      <c r="F91" s="127">
        <f t="shared" si="1"/>
        <v>4109.490000000001</v>
      </c>
    </row>
    <row r="92" spans="1:6" ht="18.75" customHeight="1" thickBot="1">
      <c r="A92" s="3" t="s">
        <v>187</v>
      </c>
      <c r="B92" s="25" t="s">
        <v>188</v>
      </c>
      <c r="C92" s="102"/>
      <c r="D92" s="105" t="s">
        <v>182</v>
      </c>
      <c r="E92" s="118"/>
      <c r="F92" s="127"/>
    </row>
    <row r="93" spans="1:6" ht="22.5">
      <c r="A93" s="5" t="s">
        <v>189</v>
      </c>
      <c r="B93" s="73" t="s">
        <v>190</v>
      </c>
      <c r="C93" s="67" t="s">
        <v>263</v>
      </c>
      <c r="D93" s="32">
        <v>22</v>
      </c>
      <c r="E93" s="86">
        <f>1.1*30.325</f>
        <v>33.3575</v>
      </c>
      <c r="F93" s="89">
        <f t="shared" si="1"/>
        <v>1401.015</v>
      </c>
    </row>
    <row r="94" spans="1:6" ht="45">
      <c r="A94" t="s">
        <v>191</v>
      </c>
      <c r="B94" s="79" t="s">
        <v>192</v>
      </c>
      <c r="C94" s="71" t="s">
        <v>272</v>
      </c>
      <c r="D94" s="33">
        <v>25</v>
      </c>
      <c r="E94" s="86">
        <f>1.1*32.61</f>
        <v>35.871</v>
      </c>
      <c r="F94" s="89">
        <f t="shared" si="1"/>
        <v>1506.582</v>
      </c>
    </row>
    <row r="95" spans="1:6" ht="22.5">
      <c r="A95" t="s">
        <v>193</v>
      </c>
      <c r="B95" s="79" t="s">
        <v>194</v>
      </c>
      <c r="C95" s="71" t="s">
        <v>273</v>
      </c>
      <c r="D95" s="33">
        <v>25</v>
      </c>
      <c r="E95" s="86">
        <f>1.1*38.2784722222222</f>
        <v>42.10631944444442</v>
      </c>
      <c r="F95" s="89">
        <f t="shared" si="1"/>
        <v>1768.4654166666658</v>
      </c>
    </row>
    <row r="96" spans="1:6" ht="56.25">
      <c r="A96" t="s">
        <v>195</v>
      </c>
      <c r="B96" s="79" t="s">
        <v>196</v>
      </c>
      <c r="C96" s="71" t="s">
        <v>274</v>
      </c>
      <c r="D96" s="33">
        <v>20</v>
      </c>
      <c r="E96" s="86">
        <f>1.1*262.06</f>
        <v>288.266</v>
      </c>
      <c r="F96" s="89">
        <f t="shared" si="1"/>
        <v>12107.172</v>
      </c>
    </row>
    <row r="97" spans="1:6" ht="15.75">
      <c r="A97" t="s">
        <v>197</v>
      </c>
      <c r="B97" s="12" t="s">
        <v>198</v>
      </c>
      <c r="C97" s="12"/>
      <c r="D97" s="33">
        <v>1</v>
      </c>
      <c r="E97" s="86">
        <f>1.1*14.7130937850729</f>
        <v>16.184403163580193</v>
      </c>
      <c r="F97" s="89">
        <f t="shared" si="1"/>
        <v>679.7449328703681</v>
      </c>
    </row>
    <row r="98" spans="1:6" ht="45">
      <c r="A98" t="s">
        <v>199</v>
      </c>
      <c r="B98" s="79" t="s">
        <v>200</v>
      </c>
      <c r="C98" s="71" t="s">
        <v>275</v>
      </c>
      <c r="D98" s="33">
        <v>20</v>
      </c>
      <c r="E98" s="86">
        <f>1.1*24.3625</f>
        <v>26.798750000000002</v>
      </c>
      <c r="F98" s="89">
        <f t="shared" si="1"/>
        <v>1125.5475000000001</v>
      </c>
    </row>
    <row r="99" spans="1:6" ht="33.75">
      <c r="A99" t="s">
        <v>201</v>
      </c>
      <c r="B99" s="71" t="s">
        <v>202</v>
      </c>
      <c r="C99" s="71" t="s">
        <v>276</v>
      </c>
      <c r="D99" s="33">
        <v>20</v>
      </c>
      <c r="E99" s="86">
        <f>1.1*25.86</f>
        <v>28.446</v>
      </c>
      <c r="F99" s="89">
        <f t="shared" si="1"/>
        <v>1194.732</v>
      </c>
    </row>
    <row r="100" spans="1:6" ht="45">
      <c r="A100" t="s">
        <v>203</v>
      </c>
      <c r="B100" s="79" t="s">
        <v>204</v>
      </c>
      <c r="C100" s="71" t="s">
        <v>277</v>
      </c>
      <c r="D100" s="33">
        <v>25</v>
      </c>
      <c r="E100" s="86">
        <f>1.1*26.525</f>
        <v>29.177500000000002</v>
      </c>
      <c r="F100" s="89">
        <f t="shared" si="1"/>
        <v>1225.4550000000002</v>
      </c>
    </row>
    <row r="101" spans="1:6" ht="35.25" thickBot="1">
      <c r="A101" s="5" t="s">
        <v>205</v>
      </c>
      <c r="B101" s="81" t="s">
        <v>206</v>
      </c>
      <c r="C101" s="80" t="s">
        <v>278</v>
      </c>
      <c r="D101" s="34">
        <v>5</v>
      </c>
      <c r="E101" s="86">
        <f>1.1*39.6</f>
        <v>43.56</v>
      </c>
      <c r="F101" s="89">
        <f t="shared" si="1"/>
        <v>1829.52</v>
      </c>
    </row>
    <row r="102" spans="1:6" ht="15" customHeight="1">
      <c r="A102" s="3" t="s">
        <v>207</v>
      </c>
      <c r="B102" s="20" t="s">
        <v>208</v>
      </c>
      <c r="C102" s="101" t="s">
        <v>279</v>
      </c>
      <c r="D102" s="108" t="s">
        <v>209</v>
      </c>
      <c r="E102" s="119">
        <f>1.1*92.0375</f>
        <v>101.24125000000001</v>
      </c>
      <c r="F102" s="127">
        <f>E102*$E$3</f>
        <v>4252.132500000001</v>
      </c>
    </row>
    <row r="103" spans="1:6" ht="15" customHeight="1">
      <c r="A103" s="3" t="s">
        <v>210</v>
      </c>
      <c r="B103" s="12" t="s">
        <v>211</v>
      </c>
      <c r="C103" s="103"/>
      <c r="D103" s="108"/>
      <c r="E103" s="120">
        <v>0</v>
      </c>
      <c r="F103" s="127"/>
    </row>
    <row r="104" spans="1:6" ht="15.75" customHeight="1" thickBot="1">
      <c r="A104" s="3" t="s">
        <v>212</v>
      </c>
      <c r="B104" s="25" t="s">
        <v>213</v>
      </c>
      <c r="C104" s="102"/>
      <c r="D104" s="109"/>
      <c r="E104" s="121">
        <v>0</v>
      </c>
      <c r="F104" s="127"/>
    </row>
  </sheetData>
  <sheetProtection/>
  <mergeCells count="75">
    <mergeCell ref="F102:F104"/>
    <mergeCell ref="F79:F80"/>
    <mergeCell ref="F81:F82"/>
    <mergeCell ref="F88:F89"/>
    <mergeCell ref="F91:F92"/>
    <mergeCell ref="F24:F25"/>
    <mergeCell ref="F26:F27"/>
    <mergeCell ref="F29:F30"/>
    <mergeCell ref="F34:F35"/>
    <mergeCell ref="F36:F37"/>
    <mergeCell ref="F38:F39"/>
    <mergeCell ref="F8:F9"/>
    <mergeCell ref="F10:F11"/>
    <mergeCell ref="F16:F17"/>
    <mergeCell ref="F18:F19"/>
    <mergeCell ref="F20:F21"/>
    <mergeCell ref="F22:F23"/>
    <mergeCell ref="C32:C33"/>
    <mergeCell ref="C34:C35"/>
    <mergeCell ref="C68:C70"/>
    <mergeCell ref="C74:C75"/>
    <mergeCell ref="C79:C80"/>
    <mergeCell ref="C36:C37"/>
    <mergeCell ref="C38:C39"/>
    <mergeCell ref="C40:C62"/>
    <mergeCell ref="C64:C66"/>
    <mergeCell ref="E102:E104"/>
    <mergeCell ref="E79:E80"/>
    <mergeCell ref="E81:E82"/>
    <mergeCell ref="E88:E89"/>
    <mergeCell ref="E91:E92"/>
    <mergeCell ref="C20:C21"/>
    <mergeCell ref="C22:C23"/>
    <mergeCell ref="C24:C25"/>
    <mergeCell ref="C26:C27"/>
    <mergeCell ref="C29:C30"/>
    <mergeCell ref="E24:E25"/>
    <mergeCell ref="E26:E27"/>
    <mergeCell ref="E29:E30"/>
    <mergeCell ref="E34:E35"/>
    <mergeCell ref="E36:E37"/>
    <mergeCell ref="E38:E39"/>
    <mergeCell ref="E8:E9"/>
    <mergeCell ref="E10:E11"/>
    <mergeCell ref="E16:E17"/>
    <mergeCell ref="E18:E19"/>
    <mergeCell ref="E20:E21"/>
    <mergeCell ref="E22:E23"/>
    <mergeCell ref="D10:D11"/>
    <mergeCell ref="D18:D19"/>
    <mergeCell ref="D16:D17"/>
    <mergeCell ref="B5:D5"/>
    <mergeCell ref="B6:D6"/>
    <mergeCell ref="D8:D9"/>
    <mergeCell ref="C8:C9"/>
    <mergeCell ref="C10:C11"/>
    <mergeCell ref="C16:C17"/>
    <mergeCell ref="C18:C19"/>
    <mergeCell ref="D34:D35"/>
    <mergeCell ref="D29:D30"/>
    <mergeCell ref="D38:D39"/>
    <mergeCell ref="D36:D37"/>
    <mergeCell ref="D22:D23"/>
    <mergeCell ref="D20:D21"/>
    <mergeCell ref="D26:D27"/>
    <mergeCell ref="D24:D25"/>
    <mergeCell ref="C81:C82"/>
    <mergeCell ref="C88:C89"/>
    <mergeCell ref="C91:C92"/>
    <mergeCell ref="C102:C104"/>
    <mergeCell ref="D88:D89"/>
    <mergeCell ref="D79:D80"/>
    <mergeCell ref="D81:D82"/>
    <mergeCell ref="D102:D104"/>
    <mergeCell ref="D91:D92"/>
  </mergeCells>
  <conditionalFormatting sqref="A12">
    <cfRule type="duplicateValues" priority="44" dxfId="31">
      <formula>AND(COUNTIF($A$12:$A$12,A12)&gt;1,NOT(ISBLANK(A12)))</formula>
    </cfRule>
  </conditionalFormatting>
  <conditionalFormatting sqref="A13:A15">
    <cfRule type="duplicateValues" priority="43" dxfId="31">
      <formula>AND(COUNTIF($A$13:$A$15,A13)&gt;1,NOT(ISBLANK(A13)))</formula>
    </cfRule>
  </conditionalFormatting>
  <conditionalFormatting sqref="A10:A11">
    <cfRule type="duplicateValues" priority="42" dxfId="31">
      <formula>AND(COUNTIF($A$10:$A$11,A10)&gt;1,NOT(ISBLANK(A10)))</formula>
    </cfRule>
  </conditionalFormatting>
  <conditionalFormatting sqref="A16:A17">
    <cfRule type="duplicateValues" priority="41" dxfId="31">
      <formula>AND(COUNTIF($A$16:$A$17,A16)&gt;1,NOT(ISBLANK(A16)))</formula>
    </cfRule>
  </conditionalFormatting>
  <conditionalFormatting sqref="A18:A19">
    <cfRule type="duplicateValues" priority="40" dxfId="31">
      <formula>AND(COUNTIF($A$18:$A$19,A18)&gt;1,NOT(ISBLANK(A18)))</formula>
    </cfRule>
  </conditionalFormatting>
  <conditionalFormatting sqref="A24:A25">
    <cfRule type="duplicateValues" priority="39" dxfId="31">
      <formula>AND(COUNTIF($A$24:$A$25,A24)&gt;1,NOT(ISBLANK(A24)))</formula>
    </cfRule>
  </conditionalFormatting>
  <conditionalFormatting sqref="A26:A27">
    <cfRule type="duplicateValues" priority="38" dxfId="31">
      <formula>AND(COUNTIF($A$26:$A$27,A26)&gt;1,NOT(ISBLANK(A26)))</formula>
    </cfRule>
  </conditionalFormatting>
  <conditionalFormatting sqref="A20:A21">
    <cfRule type="duplicateValues" priority="37" dxfId="31">
      <formula>AND(COUNTIF($A$20:$A$21,A20)&gt;1,NOT(ISBLANK(A20)))</formula>
    </cfRule>
  </conditionalFormatting>
  <conditionalFormatting sqref="A22:A23">
    <cfRule type="duplicateValues" priority="36" dxfId="31">
      <formula>AND(COUNTIF($A$22:$A$23,A22)&gt;1,NOT(ISBLANK(A22)))</formula>
    </cfRule>
  </conditionalFormatting>
  <conditionalFormatting sqref="A29:A30">
    <cfRule type="duplicateValues" priority="35" dxfId="31">
      <formula>AND(COUNTIF($A$29:$A$30,A29)&gt;1,NOT(ISBLANK(A29)))</formula>
    </cfRule>
  </conditionalFormatting>
  <conditionalFormatting sqref="A33">
    <cfRule type="duplicateValues" priority="34" dxfId="31">
      <formula>AND(COUNTIF($A$33:$A$33,A33)&gt;1,NOT(ISBLANK(A33)))</formula>
    </cfRule>
  </conditionalFormatting>
  <conditionalFormatting sqref="A34:A38">
    <cfRule type="duplicateValues" priority="33" dxfId="31">
      <formula>AND(COUNTIF($A$34:$A$38,A34)&gt;1,NOT(ISBLANK(A34)))</formula>
    </cfRule>
  </conditionalFormatting>
  <conditionalFormatting sqref="A36">
    <cfRule type="duplicateValues" priority="32" dxfId="31">
      <formula>AND(COUNTIF($A$36:$A$36,A36)&gt;1,NOT(ISBLANK(A36)))</formula>
    </cfRule>
  </conditionalFormatting>
  <conditionalFormatting sqref="A38:A39">
    <cfRule type="duplicateValues" priority="31" dxfId="31">
      <formula>AND(COUNTIF($A$38:$A$39,A38)&gt;1,NOT(ISBLANK(A38)))</formula>
    </cfRule>
  </conditionalFormatting>
  <conditionalFormatting sqref="A40:A63">
    <cfRule type="duplicateValues" priority="30" dxfId="31">
      <formula>AND(COUNTIF($A$40:$A$63,A40)&gt;1,NOT(ISBLANK(A40)))</formula>
    </cfRule>
  </conditionalFormatting>
  <conditionalFormatting sqref="A64:A67">
    <cfRule type="duplicateValues" priority="29" dxfId="31">
      <formula>AND(COUNTIF($A$64:$A$67,A64)&gt;1,NOT(ISBLANK(A64)))</formula>
    </cfRule>
  </conditionalFormatting>
  <conditionalFormatting sqref="A68:A71">
    <cfRule type="duplicateValues" priority="28" dxfId="31">
      <formula>AND(COUNTIF($A$68:$A$71,A68)&gt;1,NOT(ISBLANK(A68)))</formula>
    </cfRule>
  </conditionalFormatting>
  <conditionalFormatting sqref="A78">
    <cfRule type="duplicateValues" priority="27" dxfId="31">
      <formula>AND(COUNTIF($A$78:$A$78,A78)&gt;1,NOT(ISBLANK(A78)))</formula>
    </cfRule>
  </conditionalFormatting>
  <conditionalFormatting sqref="A80">
    <cfRule type="duplicateValues" priority="26" dxfId="31">
      <formula>AND(COUNTIF($A$80:$A$80,A80)&gt;1,NOT(ISBLANK(A80)))</formula>
    </cfRule>
  </conditionalFormatting>
  <conditionalFormatting sqref="A81:A82">
    <cfRule type="duplicateValues" priority="25" dxfId="31">
      <formula>AND(COUNTIF($A$81:$A$82,A81)&gt;1,NOT(ISBLANK(A81)))</formula>
    </cfRule>
  </conditionalFormatting>
  <conditionalFormatting sqref="A83">
    <cfRule type="duplicateValues" priority="24" dxfId="31">
      <formula>AND(COUNTIF($A$83:$A$83,A83)&gt;1,NOT(ISBLANK(A83)))</formula>
    </cfRule>
  </conditionalFormatting>
  <conditionalFormatting sqref="A102:A104">
    <cfRule type="duplicateValues" priority="23" dxfId="31">
      <formula>AND(COUNTIF($A$102:$A$104,A102)&gt;1,NOT(ISBLANK(A102)))</formula>
    </cfRule>
  </conditionalFormatting>
  <conditionalFormatting sqref="A101">
    <cfRule type="duplicateValues" priority="22" dxfId="31">
      <formula>AND(COUNTIF($A$101:$A$101,A101)&gt;1,NOT(ISBLANK(A101)))</formula>
    </cfRule>
  </conditionalFormatting>
  <conditionalFormatting sqref="A85">
    <cfRule type="duplicateValues" priority="21" dxfId="31">
      <formula>AND(COUNTIF($A$85:$A$85,A85)&gt;1,NOT(ISBLANK(A85)))</formula>
    </cfRule>
  </conditionalFormatting>
  <conditionalFormatting sqref="A86">
    <cfRule type="duplicateValues" priority="20" dxfId="31">
      <formula>AND(COUNTIF($A$86:$A$86,A86)&gt;1,NOT(ISBLANK(A86)))</formula>
    </cfRule>
  </conditionalFormatting>
  <conditionalFormatting sqref="A87:A89">
    <cfRule type="duplicateValues" priority="19" dxfId="31">
      <formula>AND(COUNTIF($A$87:$A$89,A87)&gt;1,NOT(ISBLANK(A87)))</formula>
    </cfRule>
  </conditionalFormatting>
  <conditionalFormatting sqref="A14">
    <cfRule type="duplicateValues" priority="18" dxfId="31">
      <formula>AND(COUNTIF($A$14:$A$14,A14)&gt;1,NOT(ISBLANK(A14)))</formula>
    </cfRule>
  </conditionalFormatting>
  <conditionalFormatting sqref="A15">
    <cfRule type="duplicateValues" priority="17" dxfId="31">
      <formula>AND(COUNTIF($A$15:$A$15,A15)&gt;1,NOT(ISBLANK(A15)))</formula>
    </cfRule>
  </conditionalFormatting>
  <conditionalFormatting sqref="A91:A92">
    <cfRule type="duplicateValues" priority="16" dxfId="31">
      <formula>AND(COUNTIF($A$91:$A$92,A91)&gt;1,NOT(ISBLANK(A91)))</formula>
    </cfRule>
  </conditionalFormatting>
  <conditionalFormatting sqref="A88:A89">
    <cfRule type="duplicateValues" priority="15" dxfId="31">
      <formula>AND(COUNTIF($A$88:$A$89,A88)&gt;1,NOT(ISBLANK(A88)))</formula>
    </cfRule>
  </conditionalFormatting>
  <conditionalFormatting sqref="A93">
    <cfRule type="duplicateValues" priority="14" dxfId="31">
      <formula>AND(COUNTIF($A$93:$A$93,A93)&gt;1,NOT(ISBLANK(A93)))</formula>
    </cfRule>
  </conditionalFormatting>
  <printOptions/>
  <pageMargins left="0.2362204724409449" right="0.2362204724409449" top="0.39" bottom="0.2362204724409449" header="0.92" footer="0.31496062992125984"/>
  <pageSetup fitToHeight="2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32.28125" style="0" customWidth="1"/>
    <col min="2" max="2" width="36.8515625" style="0" customWidth="1"/>
    <col min="4" max="4" width="10.57421875" style="0" customWidth="1"/>
    <col min="5" max="5" width="10.7109375" style="0" customWidth="1"/>
    <col min="247" max="247" width="27.421875" style="0" customWidth="1"/>
  </cols>
  <sheetData>
    <row r="1" spans="2:4" ht="15">
      <c r="B1" t="s">
        <v>230</v>
      </c>
      <c r="D1" s="36"/>
    </row>
    <row r="2" spans="2:4" ht="15">
      <c r="B2" t="s">
        <v>229</v>
      </c>
      <c r="C2" s="37"/>
      <c r="D2" s="37"/>
    </row>
    <row r="3" ht="15">
      <c r="B3" t="s">
        <v>235</v>
      </c>
    </row>
    <row r="4" ht="15">
      <c r="B4" t="s">
        <v>231</v>
      </c>
    </row>
    <row r="5" ht="15">
      <c r="B5" s="49" t="s">
        <v>304</v>
      </c>
    </row>
    <row r="6" spans="1:4" ht="15">
      <c r="A6" s="134" t="s">
        <v>227</v>
      </c>
      <c r="B6" s="134"/>
      <c r="C6" s="134"/>
      <c r="D6" s="134"/>
    </row>
    <row r="7" spans="1:4" ht="15.75" thickBot="1">
      <c r="A7" s="135" t="s">
        <v>281</v>
      </c>
      <c r="B7" s="135"/>
      <c r="C7" s="135"/>
      <c r="D7" s="135"/>
    </row>
    <row r="8" spans="1:7" ht="18.75" hidden="1" thickBot="1">
      <c r="A8" s="138" t="s">
        <v>214</v>
      </c>
      <c r="B8" s="139"/>
      <c r="C8" s="139"/>
      <c r="D8" s="139"/>
      <c r="E8" s="139"/>
      <c r="F8" s="139"/>
      <c r="G8" s="139"/>
    </row>
    <row r="9" spans="1:7" ht="23.25" thickBot="1">
      <c r="A9" s="39" t="s">
        <v>283</v>
      </c>
      <c r="B9" s="39" t="s">
        <v>228</v>
      </c>
      <c r="C9" s="39" t="s">
        <v>2</v>
      </c>
      <c r="D9" s="55" t="s">
        <v>241</v>
      </c>
      <c r="E9" s="56" t="s">
        <v>238</v>
      </c>
      <c r="F9" s="56" t="s">
        <v>239</v>
      </c>
      <c r="G9" s="56" t="s">
        <v>240</v>
      </c>
    </row>
    <row r="10" spans="1:4" ht="16.5" thickBot="1">
      <c r="A10" s="136" t="s">
        <v>215</v>
      </c>
      <c r="B10" s="137"/>
      <c r="C10" s="137"/>
      <c r="D10" s="137"/>
    </row>
    <row r="11" spans="1:8" ht="67.5" customHeight="1">
      <c r="A11" s="130" t="s">
        <v>216</v>
      </c>
      <c r="B11" s="131" t="s">
        <v>285</v>
      </c>
      <c r="C11" s="40">
        <v>25</v>
      </c>
      <c r="D11" s="41">
        <v>658.25</v>
      </c>
      <c r="E11" s="57">
        <v>724.075</v>
      </c>
      <c r="F11" s="58">
        <v>789.9</v>
      </c>
      <c r="G11" s="59">
        <v>839.5</v>
      </c>
      <c r="H11" s="54"/>
    </row>
    <row r="12" spans="1:8" ht="15">
      <c r="A12" s="129"/>
      <c r="B12" s="132"/>
      <c r="C12" s="40" t="s">
        <v>284</v>
      </c>
      <c r="D12" s="41">
        <f>D11/C11</f>
        <v>26.33</v>
      </c>
      <c r="E12" s="57">
        <f>E11/C11</f>
        <v>28.963</v>
      </c>
      <c r="F12" s="57">
        <f>F11/C11</f>
        <v>31.596</v>
      </c>
      <c r="G12" s="57">
        <f>G11/C11</f>
        <v>33.58</v>
      </c>
      <c r="H12" s="54"/>
    </row>
    <row r="13" spans="1:8" ht="67.5" customHeight="1">
      <c r="A13" s="128" t="s">
        <v>217</v>
      </c>
      <c r="B13" s="133" t="s">
        <v>286</v>
      </c>
      <c r="C13" s="42">
        <v>25</v>
      </c>
      <c r="D13" s="43">
        <v>576.51</v>
      </c>
      <c r="E13" s="57">
        <v>634.1610000000001</v>
      </c>
      <c r="F13" s="58">
        <v>691.812</v>
      </c>
      <c r="G13" s="59">
        <v>728.73</v>
      </c>
      <c r="H13" s="54"/>
    </row>
    <row r="14" spans="1:8" ht="15">
      <c r="A14" s="129"/>
      <c r="B14" s="132"/>
      <c r="C14" s="40" t="s">
        <v>284</v>
      </c>
      <c r="D14" s="41">
        <f>D13/C13</f>
        <v>23.0604</v>
      </c>
      <c r="E14" s="57">
        <f>E13/C13</f>
        <v>25.36644</v>
      </c>
      <c r="F14" s="57">
        <f>F13/C13</f>
        <v>27.67248</v>
      </c>
      <c r="G14" s="57">
        <f>G13/C13</f>
        <v>29.1492</v>
      </c>
      <c r="H14" s="54"/>
    </row>
    <row r="15" spans="1:8" ht="90" customHeight="1">
      <c r="A15" s="128" t="s">
        <v>218</v>
      </c>
      <c r="B15" s="133" t="s">
        <v>287</v>
      </c>
      <c r="C15" s="42">
        <v>25</v>
      </c>
      <c r="D15" s="43">
        <v>595.5</v>
      </c>
      <c r="E15" s="57">
        <v>655.05</v>
      </c>
      <c r="F15" s="58">
        <v>714.6</v>
      </c>
      <c r="G15" s="59">
        <v>756.25</v>
      </c>
      <c r="H15" s="54"/>
    </row>
    <row r="16" spans="1:8" ht="15">
      <c r="A16" s="129"/>
      <c r="B16" s="132"/>
      <c r="C16" s="40" t="s">
        <v>284</v>
      </c>
      <c r="D16" s="41">
        <f>D15/C15</f>
        <v>23.82</v>
      </c>
      <c r="E16" s="57">
        <f>E15/C15</f>
        <v>26.201999999999998</v>
      </c>
      <c r="F16" s="57">
        <f>F15/C15</f>
        <v>28.584</v>
      </c>
      <c r="G16" s="57">
        <f>G15/C15</f>
        <v>30.25</v>
      </c>
      <c r="H16" s="54"/>
    </row>
    <row r="17" spans="1:8" ht="67.5" customHeight="1">
      <c r="A17" s="128" t="s">
        <v>237</v>
      </c>
      <c r="B17" s="133" t="s">
        <v>288</v>
      </c>
      <c r="C17" s="42">
        <v>25</v>
      </c>
      <c r="D17" s="43">
        <v>831.25</v>
      </c>
      <c r="E17" s="57">
        <v>914.375</v>
      </c>
      <c r="F17" s="58">
        <v>997.5</v>
      </c>
      <c r="G17" s="59">
        <v>1069.25</v>
      </c>
      <c r="H17" s="54"/>
    </row>
    <row r="18" spans="1:8" ht="15">
      <c r="A18" s="129"/>
      <c r="B18" s="132"/>
      <c r="C18" s="40" t="s">
        <v>284</v>
      </c>
      <c r="D18" s="41">
        <f>D17/C17</f>
        <v>33.25</v>
      </c>
      <c r="E18" s="57">
        <f>E17/C17</f>
        <v>36.575</v>
      </c>
      <c r="F18" s="57">
        <f>F17/C17</f>
        <v>39.9</v>
      </c>
      <c r="G18" s="57">
        <f>G17/C17</f>
        <v>42.77</v>
      </c>
      <c r="H18" s="54"/>
    </row>
    <row r="19" spans="1:8" ht="78.75" customHeight="1">
      <c r="A19" s="128" t="s">
        <v>236</v>
      </c>
      <c r="B19" s="133" t="s">
        <v>289</v>
      </c>
      <c r="C19" s="42">
        <v>25</v>
      </c>
      <c r="D19" s="43">
        <v>818</v>
      </c>
      <c r="E19" s="57">
        <v>899.8</v>
      </c>
      <c r="F19" s="58">
        <v>981.6</v>
      </c>
      <c r="G19" s="59">
        <v>1051.5</v>
      </c>
      <c r="H19" s="54"/>
    </row>
    <row r="20" spans="1:8" ht="15">
      <c r="A20" s="129"/>
      <c r="B20" s="132"/>
      <c r="C20" s="40" t="s">
        <v>284</v>
      </c>
      <c r="D20" s="41">
        <f>D19/C19</f>
        <v>32.72</v>
      </c>
      <c r="E20" s="57">
        <f>E19/C19</f>
        <v>35.992</v>
      </c>
      <c r="F20" s="57">
        <f>F19/C19</f>
        <v>39.264</v>
      </c>
      <c r="G20" s="57">
        <f>G19/C19</f>
        <v>42.06</v>
      </c>
      <c r="H20" s="54"/>
    </row>
    <row r="21" spans="1:8" ht="78.75" customHeight="1">
      <c r="A21" s="141" t="s">
        <v>219</v>
      </c>
      <c r="B21" s="133" t="s">
        <v>290</v>
      </c>
      <c r="C21" s="40">
        <v>25</v>
      </c>
      <c r="D21" s="52">
        <v>658.75</v>
      </c>
      <c r="E21" s="57">
        <v>724.625</v>
      </c>
      <c r="F21" s="58">
        <v>790.5</v>
      </c>
      <c r="G21" s="59">
        <v>840.25</v>
      </c>
      <c r="H21" s="54"/>
    </row>
    <row r="22" spans="1:8" ht="15.75" thickBot="1">
      <c r="A22" s="142"/>
      <c r="B22" s="143"/>
      <c r="C22" s="40" t="s">
        <v>284</v>
      </c>
      <c r="D22" s="41">
        <f>D21/C21</f>
        <v>26.35</v>
      </c>
      <c r="E22" s="57">
        <f>E21/C21</f>
        <v>28.985</v>
      </c>
      <c r="F22" s="57">
        <f>F21/C21</f>
        <v>31.62</v>
      </c>
      <c r="G22" s="57">
        <f>G21/C21</f>
        <v>33.61</v>
      </c>
      <c r="H22" s="54"/>
    </row>
    <row r="23" spans="1:8" ht="67.5" customHeight="1">
      <c r="A23" s="130" t="s">
        <v>220</v>
      </c>
      <c r="B23" s="131" t="s">
        <v>291</v>
      </c>
      <c r="C23" s="44">
        <v>25</v>
      </c>
      <c r="D23" s="45">
        <v>611</v>
      </c>
      <c r="E23" s="57">
        <v>672.1</v>
      </c>
      <c r="F23" s="58">
        <v>720.98</v>
      </c>
      <c r="G23" s="59">
        <v>732.25</v>
      </c>
      <c r="H23" s="54"/>
    </row>
    <row r="24" spans="1:8" ht="15">
      <c r="A24" s="129"/>
      <c r="B24" s="132"/>
      <c r="C24" s="40" t="s">
        <v>284</v>
      </c>
      <c r="D24" s="41">
        <f>D23/C23</f>
        <v>24.44</v>
      </c>
      <c r="E24" s="57">
        <f>E23/C23</f>
        <v>26.884</v>
      </c>
      <c r="F24" s="57">
        <f>F23/C23</f>
        <v>28.8392</v>
      </c>
      <c r="G24" s="57">
        <f>G23/C23</f>
        <v>29.29</v>
      </c>
      <c r="H24" s="54"/>
    </row>
    <row r="25" spans="1:8" ht="79.5" customHeight="1">
      <c r="A25" s="146" t="s">
        <v>221</v>
      </c>
      <c r="B25" s="133" t="s">
        <v>292</v>
      </c>
      <c r="C25" s="40">
        <v>25</v>
      </c>
      <c r="D25" s="41">
        <v>744.15</v>
      </c>
      <c r="E25" s="57">
        <v>818.57</v>
      </c>
      <c r="F25" s="58">
        <v>863.28</v>
      </c>
      <c r="G25" s="59">
        <v>898.82</v>
      </c>
      <c r="H25" s="54"/>
    </row>
    <row r="26" spans="1:8" ht="15">
      <c r="A26" s="147"/>
      <c r="B26" s="132"/>
      <c r="C26" s="40" t="s">
        <v>284</v>
      </c>
      <c r="D26" s="41">
        <f>D25/C25</f>
        <v>29.766</v>
      </c>
      <c r="E26" s="57">
        <f>E25/C25</f>
        <v>32.7428</v>
      </c>
      <c r="F26" s="57">
        <f>F25/C25</f>
        <v>34.5312</v>
      </c>
      <c r="G26" s="57">
        <f>G25/C25</f>
        <v>35.9528</v>
      </c>
      <c r="H26" s="54"/>
    </row>
    <row r="27" spans="1:8" ht="16.5" customHeight="1">
      <c r="A27" s="144" t="s">
        <v>222</v>
      </c>
      <c r="B27" s="145"/>
      <c r="C27" s="145"/>
      <c r="D27" s="145"/>
      <c r="E27" s="145"/>
      <c r="F27" s="145"/>
      <c r="G27" s="145"/>
      <c r="H27" s="54"/>
    </row>
    <row r="28" spans="1:8" ht="56.25" customHeight="1">
      <c r="A28" s="140" t="s">
        <v>223</v>
      </c>
      <c r="B28" s="140" t="s">
        <v>294</v>
      </c>
      <c r="C28" s="40">
        <v>25</v>
      </c>
      <c r="D28" s="41">
        <f>646.8+25*1.08</f>
        <v>673.8</v>
      </c>
      <c r="E28" s="57">
        <f>D28*1.1</f>
        <v>741.1800000000001</v>
      </c>
      <c r="F28" s="58">
        <f>D28*1.2</f>
        <v>808.56</v>
      </c>
      <c r="G28" s="59">
        <v>858.11</v>
      </c>
      <c r="H28" s="54"/>
    </row>
    <row r="29" spans="1:8" ht="15">
      <c r="A29" s="140"/>
      <c r="B29" s="140"/>
      <c r="C29" s="40" t="s">
        <v>284</v>
      </c>
      <c r="D29" s="41">
        <f>D28/C28</f>
        <v>26.951999999999998</v>
      </c>
      <c r="E29" s="57">
        <f>E28/C28</f>
        <v>29.6472</v>
      </c>
      <c r="F29" s="57">
        <f>F28/C28</f>
        <v>32.3424</v>
      </c>
      <c r="G29" s="57">
        <f>G28/C28</f>
        <v>34.3244</v>
      </c>
      <c r="H29" s="54"/>
    </row>
    <row r="30" spans="1:8" ht="57" customHeight="1" thickBot="1">
      <c r="A30" s="146" t="s">
        <v>224</v>
      </c>
      <c r="B30" s="133" t="s">
        <v>293</v>
      </c>
      <c r="C30" s="46">
        <v>25</v>
      </c>
      <c r="D30" s="47">
        <v>571.5</v>
      </c>
      <c r="E30" s="57">
        <f>D30*1.1</f>
        <v>628.6500000000001</v>
      </c>
      <c r="F30" s="58">
        <f>D30*1.15</f>
        <v>657.2249999999999</v>
      </c>
      <c r="G30" s="59">
        <v>724.5</v>
      </c>
      <c r="H30" s="54"/>
    </row>
    <row r="31" spans="1:8" ht="15">
      <c r="A31" s="147"/>
      <c r="B31" s="132"/>
      <c r="C31" s="40" t="s">
        <v>284</v>
      </c>
      <c r="D31" s="41">
        <f>D30/C30</f>
        <v>22.86</v>
      </c>
      <c r="E31" s="57">
        <f>E30/C30</f>
        <v>25.146000000000004</v>
      </c>
      <c r="F31" s="57">
        <f>F30/C30</f>
        <v>26.288999999999998</v>
      </c>
      <c r="G31" s="57">
        <f>G30/C30</f>
        <v>28.98</v>
      </c>
      <c r="H31" s="54"/>
    </row>
    <row r="32" spans="1:8" ht="16.5" customHeight="1">
      <c r="A32" s="148" t="s">
        <v>225</v>
      </c>
      <c r="B32" s="149"/>
      <c r="C32" s="149"/>
      <c r="D32" s="149"/>
      <c r="E32" s="149"/>
      <c r="F32" s="149"/>
      <c r="G32" s="149"/>
      <c r="H32" s="54"/>
    </row>
    <row r="33" spans="1:8" ht="56.25" customHeight="1">
      <c r="A33" s="83" t="s">
        <v>232</v>
      </c>
      <c r="B33" s="140" t="s">
        <v>295</v>
      </c>
      <c r="C33" s="40">
        <v>24</v>
      </c>
      <c r="D33" s="41">
        <v>350</v>
      </c>
      <c r="E33" s="57">
        <v>384.16400000000004</v>
      </c>
      <c r="F33" s="58">
        <v>419.088</v>
      </c>
      <c r="G33" s="41">
        <v>455</v>
      </c>
      <c r="H33" s="54"/>
    </row>
    <row r="34" spans="1:8" ht="26.25" customHeight="1">
      <c r="A34" s="83" t="s">
        <v>296</v>
      </c>
      <c r="B34" s="140"/>
      <c r="C34" s="40">
        <v>8</v>
      </c>
      <c r="D34" s="41">
        <v>2130</v>
      </c>
      <c r="E34" s="57">
        <v>2183.25</v>
      </c>
      <c r="F34" s="57">
        <v>2387.43</v>
      </c>
      <c r="G34" s="57">
        <v>2445.66</v>
      </c>
      <c r="H34" s="54"/>
    </row>
    <row r="35" spans="1:8" ht="15">
      <c r="A35" s="140" t="s">
        <v>297</v>
      </c>
      <c r="B35" s="83" t="s">
        <v>298</v>
      </c>
      <c r="C35" s="40" t="s">
        <v>284</v>
      </c>
      <c r="D35" s="57">
        <f>(E34+D33)/32</f>
        <v>79.1640625</v>
      </c>
      <c r="E35" s="57">
        <f>(E34+E33)/32</f>
        <v>80.2316875</v>
      </c>
      <c r="F35" s="57">
        <f>(E34+F33)/32</f>
        <v>81.3230625</v>
      </c>
      <c r="G35" s="57">
        <f>(E34+G33)/32</f>
        <v>82.4453125</v>
      </c>
      <c r="H35" s="54"/>
    </row>
    <row r="36" spans="1:8" ht="15">
      <c r="A36" s="140"/>
      <c r="B36" s="83" t="s">
        <v>299</v>
      </c>
      <c r="C36" s="40" t="s">
        <v>284</v>
      </c>
      <c r="D36" s="57">
        <f>(D34+D33)/32</f>
        <v>77.5</v>
      </c>
      <c r="E36" s="57">
        <f>(D34+E33)/32</f>
        <v>78.567625</v>
      </c>
      <c r="F36" s="57">
        <f>(D34+F33)/32</f>
        <v>79.659</v>
      </c>
      <c r="G36" s="57">
        <f>(D34+G33)/32</f>
        <v>80.78125</v>
      </c>
      <c r="H36" s="54"/>
    </row>
    <row r="37" spans="1:8" ht="45.75" customHeight="1">
      <c r="A37" s="140" t="s">
        <v>226</v>
      </c>
      <c r="B37" s="140" t="s">
        <v>233</v>
      </c>
      <c r="C37" s="40">
        <v>25</v>
      </c>
      <c r="D37" s="41">
        <v>662.25</v>
      </c>
      <c r="E37" s="57">
        <v>728.475</v>
      </c>
      <c r="F37" s="58">
        <v>794.7</v>
      </c>
      <c r="G37" s="41">
        <v>891.8</v>
      </c>
      <c r="H37" s="54"/>
    </row>
    <row r="38" spans="1:7" ht="15">
      <c r="A38" s="140"/>
      <c r="B38" s="140"/>
      <c r="C38" s="40" t="s">
        <v>284</v>
      </c>
      <c r="D38" s="41">
        <f>D37/C37</f>
        <v>26.49</v>
      </c>
      <c r="E38" s="57">
        <f>E37/C37</f>
        <v>29.139</v>
      </c>
      <c r="F38" s="57">
        <f>F37/C37</f>
        <v>31.788</v>
      </c>
      <c r="G38" s="57">
        <f>G37/C37</f>
        <v>35.672</v>
      </c>
    </row>
    <row r="40" spans="1:7" ht="15.75" customHeight="1">
      <c r="A40" s="150" t="s">
        <v>305</v>
      </c>
      <c r="B40" s="151"/>
      <c r="C40" s="151"/>
      <c r="D40" s="151"/>
      <c r="E40" s="151"/>
      <c r="F40" s="151"/>
      <c r="G40" s="151"/>
    </row>
    <row r="41" spans="1:7" ht="15">
      <c r="A41" s="83" t="s">
        <v>306</v>
      </c>
      <c r="B41" s="94" t="s">
        <v>314</v>
      </c>
      <c r="C41" s="91" t="s">
        <v>307</v>
      </c>
      <c r="D41" s="92">
        <v>452</v>
      </c>
      <c r="E41" s="95">
        <v>497.2</v>
      </c>
      <c r="F41" s="95">
        <v>542.4</v>
      </c>
      <c r="G41" s="40">
        <v>568.75</v>
      </c>
    </row>
    <row r="42" spans="1:7" ht="15">
      <c r="A42" s="83" t="s">
        <v>308</v>
      </c>
      <c r="B42" s="94" t="s">
        <v>315</v>
      </c>
      <c r="C42" s="91" t="s">
        <v>307</v>
      </c>
      <c r="D42" s="92">
        <v>588</v>
      </c>
      <c r="E42" s="95">
        <v>646.8</v>
      </c>
      <c r="F42" s="95">
        <v>705.6</v>
      </c>
      <c r="G42" s="40">
        <v>750.75</v>
      </c>
    </row>
    <row r="43" spans="1:7" ht="15">
      <c r="A43" s="83" t="s">
        <v>309</v>
      </c>
      <c r="B43" s="94" t="s">
        <v>316</v>
      </c>
      <c r="C43" s="91" t="s">
        <v>307</v>
      </c>
      <c r="D43" s="93">
        <v>941.74</v>
      </c>
      <c r="E43" s="95">
        <v>1035.914</v>
      </c>
      <c r="F43" s="95">
        <v>1130.088</v>
      </c>
      <c r="G43" s="40">
        <v>1224.132</v>
      </c>
    </row>
    <row r="44" spans="1:7" ht="15" customHeight="1">
      <c r="A44" s="152" t="s">
        <v>310</v>
      </c>
      <c r="B44" s="153"/>
      <c r="C44" s="153"/>
      <c r="D44" s="153"/>
      <c r="E44" s="153"/>
      <c r="F44" s="153"/>
      <c r="G44" s="153"/>
    </row>
    <row r="45" spans="1:7" ht="55.5" customHeight="1">
      <c r="A45" s="83" t="s">
        <v>311</v>
      </c>
      <c r="B45" s="97" t="s">
        <v>317</v>
      </c>
      <c r="C45" s="91" t="s">
        <v>312</v>
      </c>
      <c r="D45" s="96">
        <v>687.6</v>
      </c>
      <c r="E45" s="98">
        <v>756.36</v>
      </c>
      <c r="F45" s="98">
        <v>825.12</v>
      </c>
      <c r="G45" s="40">
        <v>891.2539999999999</v>
      </c>
    </row>
    <row r="46" spans="1:7" ht="72.75">
      <c r="A46" s="83" t="s">
        <v>313</v>
      </c>
      <c r="B46" s="97" t="s">
        <v>318</v>
      </c>
      <c r="C46" s="91" t="s">
        <v>307</v>
      </c>
      <c r="D46" s="96">
        <v>749.16</v>
      </c>
      <c r="E46" s="98">
        <v>824.076</v>
      </c>
      <c r="F46" s="98">
        <v>898.992</v>
      </c>
      <c r="G46" s="40">
        <v>966.42</v>
      </c>
    </row>
  </sheetData>
  <sheetProtection/>
  <mergeCells count="32">
    <mergeCell ref="A40:G40"/>
    <mergeCell ref="A44:G44"/>
    <mergeCell ref="A37:A38"/>
    <mergeCell ref="B37:B38"/>
    <mergeCell ref="B33:B34"/>
    <mergeCell ref="A35:A36"/>
    <mergeCell ref="A30:A31"/>
    <mergeCell ref="B30:B31"/>
    <mergeCell ref="A25:A26"/>
    <mergeCell ref="B25:B26"/>
    <mergeCell ref="A32:G32"/>
    <mergeCell ref="A28:A29"/>
    <mergeCell ref="B28:B29"/>
    <mergeCell ref="A19:A20"/>
    <mergeCell ref="B19:B20"/>
    <mergeCell ref="A21:A22"/>
    <mergeCell ref="B21:B22"/>
    <mergeCell ref="A27:G27"/>
    <mergeCell ref="A23:A24"/>
    <mergeCell ref="B23:B24"/>
    <mergeCell ref="A6:D6"/>
    <mergeCell ref="A7:D7"/>
    <mergeCell ref="A10:D10"/>
    <mergeCell ref="A8:G8"/>
    <mergeCell ref="A17:A18"/>
    <mergeCell ref="B17:B18"/>
    <mergeCell ref="A15:A16"/>
    <mergeCell ref="A11:A12"/>
    <mergeCell ref="B11:B12"/>
    <mergeCell ref="A13:A14"/>
    <mergeCell ref="B13:B14"/>
    <mergeCell ref="B15:B16"/>
  </mergeCells>
  <hyperlinks>
    <hyperlink ref="B5" r:id="rId1" display="www.akademia33.ru"/>
  </hyperlinks>
  <printOptions/>
  <pageMargins left="0.5511811023622047" right="0.31496062992125984" top="0.3937007874015748" bottom="0.3937007874015748" header="0.31496062992125984" footer="0.31496062992125984"/>
  <pageSetup fitToHeight="2" fitToWidth="1"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</dc:creator>
  <cp:keywords/>
  <dc:description/>
  <cp:lastModifiedBy>Лялик</cp:lastModifiedBy>
  <cp:lastPrinted>2012-07-19T09:15:18Z</cp:lastPrinted>
  <dcterms:created xsi:type="dcterms:W3CDTF">2011-10-09T12:37:08Z</dcterms:created>
  <dcterms:modified xsi:type="dcterms:W3CDTF">2012-10-30T10:23:11Z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